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F30" i="81" l="1"/>
  <c r="G30" i="81"/>
  <c r="H30" i="81"/>
  <c r="F31" i="81"/>
  <c r="G31" i="81"/>
  <c r="H31" i="81"/>
  <c r="F32" i="81"/>
  <c r="G32" i="81"/>
  <c r="H32" i="81" s="1"/>
  <c r="F33" i="81"/>
  <c r="G33" i="81"/>
  <c r="H33" i="81"/>
  <c r="F34" i="81"/>
  <c r="G34" i="81"/>
  <c r="H34" i="81" s="1"/>
  <c r="F35" i="81"/>
  <c r="G35" i="81"/>
  <c r="H35" i="81" s="1"/>
  <c r="F36" i="81"/>
  <c r="G36" i="81"/>
  <c r="H36" i="81"/>
  <c r="F37" i="81"/>
  <c r="G37" i="81"/>
  <c r="H37" i="81"/>
  <c r="F38" i="81"/>
  <c r="G38" i="81"/>
  <c r="H38" i="81" s="1"/>
  <c r="K29" i="81" l="1"/>
  <c r="K31" i="81"/>
  <c r="G15" i="81" s="1"/>
  <c r="C23" i="73" s="1"/>
  <c r="K40" i="81"/>
  <c r="G12" i="81"/>
  <c r="G14" i="81"/>
  <c r="L30" i="70"/>
  <c r="L23" i="70"/>
  <c r="M30" i="70"/>
  <c r="U8" i="70"/>
  <c r="D41" i="73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N27" i="70" s="1"/>
  <c r="L28" i="70"/>
  <c r="L29" i="70"/>
  <c r="M24" i="70"/>
  <c r="M25" i="70"/>
  <c r="M26" i="70"/>
  <c r="N26" i="70" s="1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 s="1"/>
  <c r="D38" i="73" s="1"/>
  <c r="H9" i="84"/>
  <c r="C37" i="73"/>
  <c r="C38" i="73" s="1"/>
  <c r="J9" i="84"/>
  <c r="E37" i="73" s="1"/>
  <c r="E38" i="73" s="1"/>
  <c r="J8" i="84"/>
  <c r="E35" i="73"/>
  <c r="E36" i="73" s="1"/>
  <c r="I8" i="84"/>
  <c r="D35" i="73" s="1"/>
  <c r="D36" i="73" s="1"/>
  <c r="H8" i="84"/>
  <c r="C35" i="73"/>
  <c r="J7" i="84"/>
  <c r="E33" i="73" s="1"/>
  <c r="E34" i="73" s="1"/>
  <c r="I7" i="84"/>
  <c r="D33" i="73" s="1"/>
  <c r="D34" i="73" s="1"/>
  <c r="H7" i="84"/>
  <c r="C33" i="73" s="1"/>
  <c r="C34" i="73" s="1"/>
  <c r="E15" i="73"/>
  <c r="C11" i="73"/>
  <c r="C12" i="73"/>
  <c r="M23" i="70"/>
  <c r="N23" i="70"/>
  <c r="N29" i="70"/>
  <c r="M20" i="70"/>
  <c r="N20" i="70"/>
  <c r="N28" i="70"/>
  <c r="N25" i="70"/>
  <c r="M19" i="70"/>
  <c r="N19" i="70" s="1"/>
  <c r="N24" i="70"/>
  <c r="M22" i="70"/>
  <c r="N22" i="70" s="1"/>
  <c r="M21" i="70"/>
  <c r="M17" i="70"/>
  <c r="N17" i="70" s="1"/>
  <c r="M18" i="70"/>
  <c r="M16" i="70"/>
  <c r="N16" i="70"/>
  <c r="C10" i="73"/>
  <c r="E48" i="73" s="1"/>
  <c r="D15" i="73"/>
  <c r="D23" i="73"/>
  <c r="E23" i="73"/>
  <c r="C46" i="73"/>
  <c r="C42" i="73"/>
  <c r="E42" i="73"/>
  <c r="E46" i="73"/>
  <c r="D42" i="73"/>
  <c r="C44" i="73"/>
  <c r="D46" i="73"/>
  <c r="E44" i="73"/>
  <c r="D44" i="73"/>
  <c r="E18" i="73"/>
  <c r="D18" i="73"/>
  <c r="D48" i="73"/>
  <c r="C4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36" i="73" l="1"/>
  <c r="N18" i="70"/>
  <c r="N21" i="70"/>
  <c r="N30" i="70"/>
  <c r="H39" i="81"/>
  <c r="G39" i="81"/>
  <c r="F39" i="81"/>
  <c r="G7" i="81"/>
  <c r="C15" i="73" s="1"/>
  <c r="K34" i="81" l="1"/>
  <c r="G10" i="81" s="1"/>
  <c r="C18" i="73" s="1"/>
  <c r="K30" i="81" l="1"/>
  <c r="K32" i="81" s="1"/>
  <c r="K35" i="81" s="1"/>
  <c r="G11" i="81" s="1"/>
  <c r="C19" i="73" s="1"/>
  <c r="K37" i="81"/>
  <c r="G13" i="81" s="1"/>
  <c r="C21" i="73" s="1"/>
  <c r="K33" i="81" l="1"/>
  <c r="G9" i="81" s="1"/>
  <c r="C17" i="73" s="1"/>
  <c r="G8" i="81"/>
  <c r="C16" i="73" s="1"/>
  <c r="G6" i="81"/>
  <c r="C14" i="73" s="1"/>
  <c r="K42" i="81"/>
  <c r="K43" i="81" s="1"/>
  <c r="K44" i="81" s="1"/>
  <c r="K46" i="81" l="1"/>
  <c r="K48" i="81" s="1"/>
  <c r="G22" i="81" s="1"/>
  <c r="C29" i="73" s="1"/>
  <c r="G18" i="81"/>
  <c r="C25" i="73" s="1"/>
  <c r="K45" i="81"/>
  <c r="G19" i="81" s="1"/>
  <c r="C26" i="73" s="1"/>
  <c r="G20" i="81"/>
  <c r="C27" i="73" s="1"/>
  <c r="K49" i="81"/>
  <c r="G23" i="81" s="1"/>
  <c r="C30" i="73" s="1"/>
  <c r="K47" i="81" l="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<sst xmlns="http://schemas.openxmlformats.org/spreadsheetml/2006/main" count="172" uniqueCount="111">
  <si>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</si>
  <si>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</si>
  <si>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</si>
  <si>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</si>
  <si>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</si>
  <si>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</si>
  <si>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</si>
  <si>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</si>
  <si>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</si>
  <si>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</si>
  <si>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</si>
  <si>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</si>
  <si>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</si>
  <si>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</si>
  <si>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</si>
  <si>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</si>
  <si>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</si>
  <si>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</si>
  <si>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</si>
  <si>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</si>
  <si>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</si>
  <si>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</si>
  <si>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</si>
  <si>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</si>
  <si>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</si>
  <si>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</si>
  <si>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</si>
  <si>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</si>
  <si>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</si>
  <si>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</si>
  <si>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</si>
  <si>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</si>
  <si>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</si>
  <si>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</si>
  <si>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</si>
  <si>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</si>
  <si>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</si>
  <si>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</si>
  <si>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</si>
  <si>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</si>
  <si>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</si>
  <si>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</si>
  <si>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</si>
  <si>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</si>
  <si>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</si>
  <si>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</si>
  <si>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</si>
  <si>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</si>
  <si>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</si>
  <si>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</si>
  <si>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</si>
  <si>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</si>
  <si>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</si>
  <si>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</si>
  <si>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</si>
  <si>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</si>
  <si>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</si>
  <si>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</si>
  <si>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</si>
  <si>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</si>
  <si>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</si>
  <si>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</si>
  <si>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</si>
  <si>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</si>
  <si>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</si>
  <si>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</si>
  <si>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</si>
  <si>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</si>
  <si>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</si>
  <si>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</si>
  <si>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</si>
  <si>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</si>
  <si>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</si>
  <si>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</si>
  <si>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</si>
  <si>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</si>
  <si>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</si>
  <si>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</si>
  <si>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</si>
  <si>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</si>
  <si>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</si>
  <si>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</si>
  <si>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</si>
  <si>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</si>
  <si>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</si>
  <si>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</si>
  <si>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</si>
  <si>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</si>
  <si>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</si>
  <si>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</si>
  <si>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</si>
  <si>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</si>
  <si>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</si>
  <si>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</si>
  <si>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</si>
  <si>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</si>
  <si>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</si>
  <si>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</si>
  <si>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</si>
  <si>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</si>
  <si>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</si>
  <si>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</si>
  <si>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</si>
  <si>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</si>
  <si>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Canal Branch, Carolina Sandhills NWR</t>
  </si>
  <si>
    <t>34.669100, -80.215719</t>
  </si>
  <si>
    <t>Canal Branch</t>
  </si>
  <si>
    <t>sand</t>
  </si>
  <si>
    <t>&gt;94</t>
  </si>
  <si>
    <t>&gt;10.0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</si>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</sst>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4.0299999999999994</c:v>
                </c:pt>
                <c:pt idx="2">
                  <c:v>4.76</c:v>
                </c:pt>
                <c:pt idx="3">
                  <c:v>4.8099999999999996</c:v>
                </c:pt>
                <c:pt idx="4">
                  <c:v>6.52</c:v>
                </c:pt>
                <c:pt idx="5">
                  <c:v>9.69</c:v>
                </c:pt>
                <c:pt idx="6">
                  <c:v>11.909999999999998</c:v>
                </c:pt>
                <c:pt idx="7">
                  <c:v>12.53</c:v>
                </c:pt>
                <c:pt idx="8">
                  <c:v>13.270000000000001</c:v>
                </c:pt>
                <c:pt idx="9">
                  <c:v>14.180000000000001</c:v>
                </c:pt>
                <c:pt idx="10">
                  <c:v>16.659999999999997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99.4</c:v>
                </c:pt>
                <c:pt idx="1">
                  <c:v>99.61</c:v>
                </c:pt>
                <c:pt idx="2">
                  <c:v>99.56</c:v>
                </c:pt>
                <c:pt idx="3">
                  <c:v>99.54</c:v>
                </c:pt>
                <c:pt idx="4">
                  <c:v>98.69</c:v>
                </c:pt>
                <c:pt idx="5">
                  <c:v>98.39</c:v>
                </c:pt>
                <c:pt idx="6">
                  <c:v>98.13</c:v>
                </c:pt>
                <c:pt idx="7">
                  <c:v>98.35</c:v>
                </c:pt>
                <c:pt idx="8">
                  <c:v>99.12</c:v>
                </c:pt>
                <c:pt idx="9">
                  <c:v>99.54</c:v>
                </c:pt>
                <c:pt idx="10">
                  <c:v>99.61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635080"/>
        <c:axId val="135633120"/>
      </c:scatterChart>
      <c:valAx>
        <c:axId val="13563508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5633120"/>
        <c:crosses val="autoZero"/>
        <c:crossBetween val="midCat"/>
      </c:valAx>
      <c:valAx>
        <c:axId val="1356331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563508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7.51</c:v>
                </c:pt>
                <c:pt idx="2">
                  <c:v>14.18</c:v>
                </c:pt>
                <c:pt idx="3">
                  <c:v>25.45</c:v>
                </c:pt>
                <c:pt idx="4">
                  <c:v>29.75</c:v>
                </c:pt>
                <c:pt idx="5">
                  <c:v>37.32</c:v>
                </c:pt>
                <c:pt idx="6">
                  <c:v>42.94</c:v>
                </c:pt>
                <c:pt idx="7">
                  <c:v>48.94</c:v>
                </c:pt>
                <c:pt idx="8">
                  <c:v>54.46</c:v>
                </c:pt>
                <c:pt idx="9">
                  <c:v>61.12</c:v>
                </c:pt>
                <c:pt idx="10">
                  <c:v>69.03</c:v>
                </c:pt>
                <c:pt idx="11">
                  <c:v>72.47</c:v>
                </c:pt>
                <c:pt idx="12">
                  <c:v>82.38</c:v>
                </c:pt>
                <c:pt idx="13">
                  <c:v>87.04</c:v>
                </c:pt>
                <c:pt idx="14">
                  <c:v>94.12</c:v>
                </c:pt>
                <c:pt idx="15">
                  <c:v>95.75</c:v>
                </c:pt>
                <c:pt idx="16">
                  <c:v>102.42</c:v>
                </c:pt>
                <c:pt idx="17">
                  <c:v>110.3</c:v>
                </c:pt>
                <c:pt idx="18">
                  <c:v>113.54</c:v>
                </c:pt>
                <c:pt idx="19">
                  <c:v>116.41</c:v>
                </c:pt>
                <c:pt idx="20">
                  <c:v>119.95</c:v>
                </c:pt>
                <c:pt idx="21">
                  <c:v>126.85</c:v>
                </c:pt>
                <c:pt idx="22">
                  <c:v>130.13</c:v>
                </c:pt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  <c:pt idx="0">
                  <c:v>98.56</c:v>
                </c:pt>
                <c:pt idx="1">
                  <c:v>98.61</c:v>
                </c:pt>
                <c:pt idx="2">
                  <c:v>98.38</c:v>
                </c:pt>
                <c:pt idx="3">
                  <c:v>98.51</c:v>
                </c:pt>
                <c:pt idx="4">
                  <c:v>97.95</c:v>
                </c:pt>
                <c:pt idx="5">
                  <c:v>97.15</c:v>
                </c:pt>
                <c:pt idx="6">
                  <c:v>98.14</c:v>
                </c:pt>
                <c:pt idx="7">
                  <c:v>98.34</c:v>
                </c:pt>
                <c:pt idx="8">
                  <c:v>98.02</c:v>
                </c:pt>
                <c:pt idx="9">
                  <c:v>98.11</c:v>
                </c:pt>
                <c:pt idx="10">
                  <c:v>97.55</c:v>
                </c:pt>
                <c:pt idx="11">
                  <c:v>97.49</c:v>
                </c:pt>
                <c:pt idx="12">
                  <c:v>98.11</c:v>
                </c:pt>
                <c:pt idx="13">
                  <c:v>98.23</c:v>
                </c:pt>
                <c:pt idx="14">
                  <c:v>98.15</c:v>
                </c:pt>
                <c:pt idx="15">
                  <c:v>97.83</c:v>
                </c:pt>
                <c:pt idx="16">
                  <c:v>97.38</c:v>
                </c:pt>
                <c:pt idx="17">
                  <c:v>98.02</c:v>
                </c:pt>
                <c:pt idx="18">
                  <c:v>98.64</c:v>
                </c:pt>
                <c:pt idx="19">
                  <c:v>98.08</c:v>
                </c:pt>
                <c:pt idx="20">
                  <c:v>97.52</c:v>
                </c:pt>
                <c:pt idx="21">
                  <c:v>98.43</c:v>
                </c:pt>
                <c:pt idx="22">
                  <c:v>98.63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7.51</c:v>
                </c:pt>
                <c:pt idx="2">
                  <c:v>14.18</c:v>
                </c:pt>
                <c:pt idx="3">
                  <c:v>25.45</c:v>
                </c:pt>
                <c:pt idx="4">
                  <c:v>29.75</c:v>
                </c:pt>
                <c:pt idx="5">
                  <c:v>37.32</c:v>
                </c:pt>
                <c:pt idx="6">
                  <c:v>42.94</c:v>
                </c:pt>
                <c:pt idx="7">
                  <c:v>48.94</c:v>
                </c:pt>
                <c:pt idx="8">
                  <c:v>54.46</c:v>
                </c:pt>
                <c:pt idx="9">
                  <c:v>61.12</c:v>
                </c:pt>
                <c:pt idx="10">
                  <c:v>69.03</c:v>
                </c:pt>
                <c:pt idx="11">
                  <c:v>72.47</c:v>
                </c:pt>
                <c:pt idx="12">
                  <c:v>82.38</c:v>
                </c:pt>
                <c:pt idx="13">
                  <c:v>87.04</c:v>
                </c:pt>
                <c:pt idx="14">
                  <c:v>94.12</c:v>
                </c:pt>
                <c:pt idx="15">
                  <c:v>95.75</c:v>
                </c:pt>
                <c:pt idx="16">
                  <c:v>102.42</c:v>
                </c:pt>
                <c:pt idx="17">
                  <c:v>110.3</c:v>
                </c:pt>
                <c:pt idx="18">
                  <c:v>113.54</c:v>
                </c:pt>
                <c:pt idx="19">
                  <c:v>116.41</c:v>
                </c:pt>
                <c:pt idx="20">
                  <c:v>119.95</c:v>
                </c:pt>
                <c:pt idx="21">
                  <c:v>126.85</c:v>
                </c:pt>
                <c:pt idx="22">
                  <c:v>130.13</c:v>
                </c:pt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  <c:pt idx="0">
                  <c:v>99.2</c:v>
                </c:pt>
                <c:pt idx="2">
                  <c:v>99.17</c:v>
                </c:pt>
                <c:pt idx="3">
                  <c:v>99.17</c:v>
                </c:pt>
                <c:pt idx="5">
                  <c:v>99.14</c:v>
                </c:pt>
                <c:pt idx="6">
                  <c:v>99.12</c:v>
                </c:pt>
                <c:pt idx="7">
                  <c:v>99.12</c:v>
                </c:pt>
                <c:pt idx="9">
                  <c:v>99.14</c:v>
                </c:pt>
                <c:pt idx="10">
                  <c:v>99.12</c:v>
                </c:pt>
                <c:pt idx="11">
                  <c:v>99.12</c:v>
                </c:pt>
                <c:pt idx="12">
                  <c:v>99.14</c:v>
                </c:pt>
                <c:pt idx="14">
                  <c:v>99.13</c:v>
                </c:pt>
                <c:pt idx="16">
                  <c:v>99.09</c:v>
                </c:pt>
                <c:pt idx="17">
                  <c:v>99.08</c:v>
                </c:pt>
                <c:pt idx="18">
                  <c:v>99.11</c:v>
                </c:pt>
                <c:pt idx="20">
                  <c:v>99.06</c:v>
                </c:pt>
                <c:pt idx="21">
                  <c:v>98.99</c:v>
                </c:pt>
                <c:pt idx="22">
                  <c:v>99.04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632336"/>
        <c:axId val="135633512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0">
                        <c:v>0</c:v>
                      </c:pt>
                      <c:pt idx="1">
                        <c:v>7.51</c:v>
                      </c:pt>
                      <c:pt idx="2">
                        <c:v>14.18</c:v>
                      </c:pt>
                      <c:pt idx="3">
                        <c:v>25.45</c:v>
                      </c:pt>
                      <c:pt idx="4">
                        <c:v>29.75</c:v>
                      </c:pt>
                      <c:pt idx="5">
                        <c:v>37.32</c:v>
                      </c:pt>
                      <c:pt idx="6">
                        <c:v>42.94</c:v>
                      </c:pt>
                      <c:pt idx="7">
                        <c:v>48.94</c:v>
                      </c:pt>
                      <c:pt idx="8">
                        <c:v>54.46</c:v>
                      </c:pt>
                      <c:pt idx="9">
                        <c:v>61.12</c:v>
                      </c:pt>
                      <c:pt idx="10">
                        <c:v>69.03</c:v>
                      </c:pt>
                      <c:pt idx="11">
                        <c:v>72.47</c:v>
                      </c:pt>
                      <c:pt idx="12">
                        <c:v>82.38</c:v>
                      </c:pt>
                      <c:pt idx="13">
                        <c:v>87.04</c:v>
                      </c:pt>
                      <c:pt idx="14">
                        <c:v>94.12</c:v>
                      </c:pt>
                      <c:pt idx="15">
                        <c:v>95.75</c:v>
                      </c:pt>
                      <c:pt idx="16">
                        <c:v>102.42</c:v>
                      </c:pt>
                      <c:pt idx="17">
                        <c:v>110.3</c:v>
                      </c:pt>
                      <c:pt idx="18">
                        <c:v>113.54</c:v>
                      </c:pt>
                      <c:pt idx="19">
                        <c:v>116.41</c:v>
                      </c:pt>
                      <c:pt idx="20">
                        <c:v>119.95</c:v>
                      </c:pt>
                      <c:pt idx="21">
                        <c:v>126.85</c:v>
                      </c:pt>
                      <c:pt idx="22">
                        <c:v>130.13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0">
                        <c:v>0</c:v>
                      </c:pt>
                      <c:pt idx="1">
                        <c:v>7.51</c:v>
                      </c:pt>
                      <c:pt idx="2">
                        <c:v>14.18</c:v>
                      </c:pt>
                      <c:pt idx="3">
                        <c:v>25.45</c:v>
                      </c:pt>
                      <c:pt idx="4">
                        <c:v>29.75</c:v>
                      </c:pt>
                      <c:pt idx="5">
                        <c:v>37.32</c:v>
                      </c:pt>
                      <c:pt idx="6">
                        <c:v>42.94</c:v>
                      </c:pt>
                      <c:pt idx="7">
                        <c:v>48.94</c:v>
                      </c:pt>
                      <c:pt idx="8">
                        <c:v>54.46</c:v>
                      </c:pt>
                      <c:pt idx="9">
                        <c:v>61.12</c:v>
                      </c:pt>
                      <c:pt idx="10">
                        <c:v>69.03</c:v>
                      </c:pt>
                      <c:pt idx="11">
                        <c:v>72.47</c:v>
                      </c:pt>
                      <c:pt idx="12">
                        <c:v>82.38</c:v>
                      </c:pt>
                      <c:pt idx="13">
                        <c:v>87.04</c:v>
                      </c:pt>
                      <c:pt idx="14">
                        <c:v>94.12</c:v>
                      </c:pt>
                      <c:pt idx="15">
                        <c:v>95.75</c:v>
                      </c:pt>
                      <c:pt idx="16">
                        <c:v>102.42</c:v>
                      </c:pt>
                      <c:pt idx="17">
                        <c:v>110.3</c:v>
                      </c:pt>
                      <c:pt idx="18">
                        <c:v>113.54</c:v>
                      </c:pt>
                      <c:pt idx="19">
                        <c:v>116.41</c:v>
                      </c:pt>
                      <c:pt idx="20">
                        <c:v>119.95</c:v>
                      </c:pt>
                      <c:pt idx="21">
                        <c:v>126.85</c:v>
                      </c:pt>
                      <c:pt idx="22">
                        <c:v>130.13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35632336"/>
        <c:scaling>
          <c:orientation val="minMax"/>
          <c:max val="15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5633512"/>
        <c:crosses val="autoZero"/>
        <c:crossBetween val="midCat"/>
        <c:minorUnit val="25"/>
      </c:valAx>
      <c:valAx>
        <c:axId val="13563351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35632336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3" sqref="B3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43857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33" t="s">
        <v>50</v>
      </c>
      <c r="D5" s="133"/>
      <c r="E5" s="133"/>
    </row>
    <row r="6" spans="2:5" ht="16.95" customHeight="1" thickTop="1" x14ac:dyDescent="0.25">
      <c r="B6" s="15" t="s">
        <v>60</v>
      </c>
      <c r="C6" s="134" t="s">
        <v>106</v>
      </c>
      <c r="D6" s="135"/>
      <c r="E6" s="136"/>
    </row>
    <row r="7" spans="2:5" ht="16.95" customHeight="1" x14ac:dyDescent="0.25">
      <c r="B7" s="15" t="s">
        <v>59</v>
      </c>
      <c r="C7" s="137" t="s">
        <v>110</v>
      </c>
      <c r="D7" s="138"/>
      <c r="E7" s="139"/>
    </row>
    <row r="8" spans="2:5" ht="16.95" customHeight="1" x14ac:dyDescent="0.25">
      <c r="B8" s="15" t="s">
        <v>21</v>
      </c>
      <c r="C8" s="140">
        <v>1.4</v>
      </c>
      <c r="D8" s="141"/>
      <c r="E8" s="142"/>
    </row>
    <row r="9" spans="2:5" ht="16.95" customHeight="1" x14ac:dyDescent="0.25">
      <c r="B9" s="15" t="s">
        <v>89</v>
      </c>
      <c r="C9" s="152" t="s">
        <v>107</v>
      </c>
      <c r="D9" s="153"/>
      <c r="E9" s="154"/>
    </row>
    <row r="10" spans="2:5" ht="16.95" customHeight="1" x14ac:dyDescent="0.25">
      <c r="B10" s="15" t="s">
        <v>52</v>
      </c>
      <c r="C10" s="146">
        <f>'Longitudinal Profile'!H9</f>
        <v>1.2298232129131438E-3</v>
      </c>
      <c r="D10" s="147"/>
      <c r="E10" s="148"/>
    </row>
    <row r="11" spans="2:5" ht="16.95" customHeight="1" x14ac:dyDescent="0.25">
      <c r="B11" s="15" t="s">
        <v>53</v>
      </c>
      <c r="C11" s="155">
        <f>'Longitudinal Profile'!H11</f>
        <v>1.45</v>
      </c>
      <c r="D11" s="156"/>
      <c r="E11" s="157"/>
    </row>
    <row r="12" spans="2:5" ht="16.95" customHeight="1" thickBot="1" x14ac:dyDescent="0.3">
      <c r="B12" s="15" t="s">
        <v>23</v>
      </c>
      <c r="C12" s="149">
        <f>'Longitudinal Profile'!H7</f>
        <v>130.1</v>
      </c>
      <c r="D12" s="150"/>
      <c r="E12" s="151"/>
    </row>
    <row r="13" spans="2:5" ht="16.95" customHeight="1" thickTop="1" x14ac:dyDescent="0.25">
      <c r="B13" s="116" t="s">
        <v>17</v>
      </c>
      <c r="C13" s="143" t="s">
        <v>64</v>
      </c>
      <c r="D13" s="144"/>
      <c r="E13" s="145"/>
    </row>
    <row r="14" spans="2:5" ht="16.95" customHeight="1" x14ac:dyDescent="0.25">
      <c r="B14" s="114" t="s">
        <v>71</v>
      </c>
      <c r="C14" s="130">
        <f>'Cross-section'!G6</f>
        <v>8.3311500000000613</v>
      </c>
      <c r="D14" s="131"/>
      <c r="E14" s="132"/>
    </row>
    <row r="15" spans="2:5" ht="16.95" customHeight="1" x14ac:dyDescent="0.25">
      <c r="B15" s="40" t="s">
        <v>72</v>
      </c>
      <c r="C15" s="130">
        <f>'Cross-section'!G7</f>
        <v>9.370000000000001</v>
      </c>
      <c r="D15" s="131">
        <f>'Cross-section'!H7</f>
        <v>0</v>
      </c>
      <c r="E15" s="132">
        <f>'Cross-section'!I7</f>
        <v>0</v>
      </c>
    </row>
    <row r="16" spans="2:5" ht="16.95" customHeight="1" x14ac:dyDescent="0.25">
      <c r="B16" s="40" t="s">
        <v>73</v>
      </c>
      <c r="C16" s="130">
        <f>'Cross-section'!G8</f>
        <v>0.88913020277481969</v>
      </c>
      <c r="D16" s="131">
        <f>'Cross-section'!H8</f>
        <v>0</v>
      </c>
      <c r="E16" s="132">
        <f>'Cross-section'!I8</f>
        <v>0</v>
      </c>
    </row>
    <row r="17" spans="2:5" ht="16.95" customHeight="1" x14ac:dyDescent="0.25">
      <c r="B17" s="40" t="s">
        <v>74</v>
      </c>
      <c r="C17" s="130">
        <f>'Cross-section'!G9</f>
        <v>10.538389057933102</v>
      </c>
      <c r="D17" s="131">
        <f>'Cross-section'!H9</f>
        <v>0</v>
      </c>
      <c r="E17" s="132">
        <f>'Cross-section'!I9</f>
        <v>0</v>
      </c>
    </row>
    <row r="18" spans="2:5" ht="16.95" customHeight="1" x14ac:dyDescent="0.25">
      <c r="B18" s="40" t="s">
        <v>75</v>
      </c>
      <c r="C18" s="130">
        <f>'Cross-section'!G10</f>
        <v>1.4100000000000108</v>
      </c>
      <c r="D18" s="131">
        <f>'Cross-section'!H10</f>
        <v>0</v>
      </c>
      <c r="E18" s="132">
        <f>'Cross-section'!I10</f>
        <v>0</v>
      </c>
    </row>
    <row r="19" spans="2:5" ht="16.95" customHeight="1" x14ac:dyDescent="0.25">
      <c r="B19" s="40" t="s">
        <v>76</v>
      </c>
      <c r="C19" s="130">
        <f>'Cross-section'!G11</f>
        <v>1.5858194847049933</v>
      </c>
      <c r="D19" s="131">
        <f>'Cross-section'!H11</f>
        <v>0</v>
      </c>
      <c r="E19" s="132">
        <f>'Cross-section'!I11</f>
        <v>0</v>
      </c>
    </row>
    <row r="20" spans="2:5" ht="16.95" customHeight="1" x14ac:dyDescent="0.25">
      <c r="B20" s="40" t="s">
        <v>25</v>
      </c>
      <c r="C20" s="130">
        <f>'Cross-section'!G12</f>
        <v>1.41</v>
      </c>
      <c r="D20" s="131">
        <f>'Cross-section'!H12</f>
        <v>0</v>
      </c>
      <c r="E20" s="132">
        <f>'Cross-section'!I12</f>
        <v>0</v>
      </c>
    </row>
    <row r="21" spans="2:5" ht="16.95" customHeight="1" x14ac:dyDescent="0.25">
      <c r="B21" s="40" t="s">
        <v>77</v>
      </c>
      <c r="C21" s="130">
        <f>'Cross-section'!G13</f>
        <v>0.99999999999999223</v>
      </c>
      <c r="D21" s="131">
        <f>'Cross-section'!H13</f>
        <v>0</v>
      </c>
      <c r="E21" s="132">
        <f>'Cross-section'!I13</f>
        <v>0</v>
      </c>
    </row>
    <row r="22" spans="2:5" ht="16.95" customHeight="1" x14ac:dyDescent="0.25">
      <c r="B22" s="40" t="s">
        <v>78</v>
      </c>
      <c r="C22" s="130" t="str">
        <f>'Cross-section'!G14</f>
        <v>&gt;94</v>
      </c>
      <c r="D22" s="131">
        <f>'Cross-section'!H14</f>
        <v>0</v>
      </c>
      <c r="E22" s="132">
        <f>'Cross-section'!I14</f>
        <v>0</v>
      </c>
    </row>
    <row r="23" spans="2:5" ht="16.95" customHeight="1" thickBot="1" x14ac:dyDescent="0.3">
      <c r="B23" s="115" t="s">
        <v>79</v>
      </c>
      <c r="C23" s="130" t="str">
        <f>'Cross-section'!G15</f>
        <v>&gt;10.0</v>
      </c>
      <c r="D23" s="131">
        <f>'Cross-section'!H15</f>
        <v>0</v>
      </c>
      <c r="E23" s="132">
        <f>'Cross-section'!I15</f>
        <v>0</v>
      </c>
    </row>
    <row r="24" spans="2:5" ht="16.95" customHeight="1" thickTop="1" x14ac:dyDescent="0.25">
      <c r="B24" s="116" t="s">
        <v>17</v>
      </c>
      <c r="C24" s="127" t="s">
        <v>54</v>
      </c>
      <c r="D24" s="128"/>
      <c r="E24" s="129"/>
    </row>
    <row r="25" spans="2:5" ht="16.95" customHeight="1" x14ac:dyDescent="0.25">
      <c r="B25" s="40" t="s">
        <v>80</v>
      </c>
      <c r="C25" s="130">
        <f>'Cross-section'!G18</f>
        <v>5.689774851408437</v>
      </c>
      <c r="D25" s="131">
        <f>'Cross-section'!H18</f>
        <v>0</v>
      </c>
      <c r="E25" s="132">
        <f>'Cross-section'!I18</f>
        <v>0</v>
      </c>
    </row>
    <row r="26" spans="2:5" ht="16.95" customHeight="1" x14ac:dyDescent="0.25">
      <c r="B26" s="40" t="s">
        <v>81</v>
      </c>
      <c r="C26" s="130">
        <f>'Cross-section'!G19</f>
        <v>0.68295191557088697</v>
      </c>
      <c r="D26" s="131">
        <f>'Cross-section'!H19</f>
        <v>0</v>
      </c>
      <c r="E26" s="132">
        <f>'Cross-section'!I19</f>
        <v>0</v>
      </c>
    </row>
    <row r="27" spans="2:5" ht="16.95" customHeight="1" x14ac:dyDescent="0.25">
      <c r="B27" s="40" t="s">
        <v>51</v>
      </c>
      <c r="C27" s="130">
        <f>'Cross-section'!G20</f>
        <v>5.7348904344039761E-2</v>
      </c>
      <c r="D27" s="131">
        <f>'Cross-section'!H20</f>
        <v>0</v>
      </c>
      <c r="E27" s="132">
        <f>'Cross-section'!I20</f>
        <v>0</v>
      </c>
    </row>
    <row r="28" spans="2:5" ht="16.95" customHeight="1" x14ac:dyDescent="0.25">
      <c r="B28" s="40" t="s">
        <v>82</v>
      </c>
      <c r="C28" s="130">
        <f>'Cross-section'!G21</f>
        <v>3.9166544077653513E-2</v>
      </c>
      <c r="D28" s="131">
        <f>'Cross-section'!H21</f>
        <v>0</v>
      </c>
      <c r="E28" s="132">
        <f>'Cross-section'!I21</f>
        <v>0</v>
      </c>
    </row>
    <row r="29" spans="2:5" ht="16.95" customHeight="1" x14ac:dyDescent="0.25">
      <c r="B29" s="15" t="s">
        <v>66</v>
      </c>
      <c r="C29" s="130">
        <f>'Cross-section'!G22</f>
        <v>4.6590577924830745</v>
      </c>
      <c r="D29" s="131">
        <f>'Cross-section'!H22</f>
        <v>0</v>
      </c>
      <c r="E29" s="132">
        <f>'Cross-section'!I22</f>
        <v>0</v>
      </c>
    </row>
    <row r="30" spans="2:5" ht="16.95" customHeight="1" thickBot="1" x14ac:dyDescent="0.3">
      <c r="B30" s="15" t="s">
        <v>67</v>
      </c>
      <c r="C30" s="130">
        <f>'Cross-section'!G23</f>
        <v>14.072196153430566</v>
      </c>
      <c r="D30" s="131">
        <f>'Cross-section'!H23</f>
        <v>0</v>
      </c>
      <c r="E30" s="132">
        <f>'Cross-section'!I23</f>
        <v>0</v>
      </c>
    </row>
    <row r="31" spans="2:5" ht="16.95" customHeight="1" thickTop="1" x14ac:dyDescent="0.25">
      <c r="B31" s="125" t="s">
        <v>17</v>
      </c>
      <c r="C31" s="122" t="s">
        <v>57</v>
      </c>
      <c r="D31" s="123"/>
      <c r="E31" s="124"/>
    </row>
    <row r="32" spans="2:5" ht="16.95" customHeight="1" thickBot="1" x14ac:dyDescent="0.3">
      <c r="B32" s="126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30</v>
      </c>
      <c r="D33" s="13">
        <f>'Planform Geometry'!I7</f>
        <v>34</v>
      </c>
      <c r="E33" s="13">
        <f>'Planform Geometry'!J7</f>
        <v>39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#DIV/0!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10</v>
      </c>
      <c r="D35" s="13">
        <f>+'Planform Geometry'!I8</f>
        <v>13</v>
      </c>
      <c r="E35" s="13">
        <f>+'Planform Geometry'!J8</f>
        <v>16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#DIV/0!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26</v>
      </c>
      <c r="D37" s="13">
        <f>+'Planform Geometry'!I9</f>
        <v>31</v>
      </c>
      <c r="E37" s="13">
        <f>+'Planform Geometry'!J9</f>
        <v>31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#DIV/0!</v>
      </c>
      <c r="E38" s="14" t="e">
        <f>E37/$D$15</f>
        <v>#DIV/0!</v>
      </c>
    </row>
    <row r="39" spans="2:5" ht="16.95" customHeight="1" thickTop="1" x14ac:dyDescent="0.25">
      <c r="B39" s="125" t="s">
        <v>17</v>
      </c>
      <c r="C39" s="122" t="s">
        <v>58</v>
      </c>
      <c r="D39" s="123"/>
      <c r="E39" s="124"/>
    </row>
    <row r="40" spans="2:5" ht="16.95" customHeight="1" thickBot="1" x14ac:dyDescent="0.3">
      <c r="B40" s="126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3" sqref="H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1" t="s">
        <v>17</v>
      </c>
      <c r="C5" s="162"/>
      <c r="D5" s="162"/>
      <c r="E5" s="162"/>
      <c r="F5" s="163"/>
      <c r="G5" s="161" t="s">
        <v>64</v>
      </c>
      <c r="H5" s="162"/>
      <c r="I5" s="163"/>
      <c r="K5" s="5"/>
      <c r="L5" s="5"/>
    </row>
    <row r="6" spans="2:12" ht="16.5" customHeight="1" x14ac:dyDescent="0.25">
      <c r="B6" s="158" t="s">
        <v>71</v>
      </c>
      <c r="C6" s="159"/>
      <c r="D6" s="159"/>
      <c r="E6" s="159"/>
      <c r="F6" s="160"/>
      <c r="G6" s="164">
        <f>K30</f>
        <v>8.3311500000000613</v>
      </c>
      <c r="H6" s="165"/>
      <c r="I6" s="166"/>
      <c r="K6" s="5"/>
      <c r="L6" s="5"/>
    </row>
    <row r="7" spans="2:12" ht="16.5" customHeight="1" x14ac:dyDescent="0.25">
      <c r="B7" s="158" t="s">
        <v>72</v>
      </c>
      <c r="C7" s="159"/>
      <c r="D7" s="159"/>
      <c r="E7" s="159"/>
      <c r="F7" s="160"/>
      <c r="G7" s="164">
        <f t="shared" ref="G7:G15" si="0">K31</f>
        <v>9.370000000000001</v>
      </c>
      <c r="H7" s="165"/>
      <c r="I7" s="166"/>
      <c r="J7" s="12"/>
      <c r="K7" s="5"/>
      <c r="L7" s="5"/>
    </row>
    <row r="8" spans="2:12" ht="16.5" customHeight="1" x14ac:dyDescent="0.25">
      <c r="B8" s="158" t="s">
        <v>73</v>
      </c>
      <c r="C8" s="159"/>
      <c r="D8" s="159"/>
      <c r="E8" s="159"/>
      <c r="F8" s="160"/>
      <c r="G8" s="164">
        <f t="shared" si="0"/>
        <v>0.88913020277481969</v>
      </c>
      <c r="H8" s="165"/>
      <c r="I8" s="166"/>
      <c r="J8" s="12"/>
      <c r="K8" s="5"/>
      <c r="L8" s="5"/>
    </row>
    <row r="9" spans="2:12" ht="16.5" customHeight="1" x14ac:dyDescent="0.25">
      <c r="B9" s="158" t="s">
        <v>74</v>
      </c>
      <c r="C9" s="159"/>
      <c r="D9" s="159"/>
      <c r="E9" s="159"/>
      <c r="F9" s="160"/>
      <c r="G9" s="164">
        <f t="shared" si="0"/>
        <v>10.538389057933102</v>
      </c>
      <c r="H9" s="165"/>
      <c r="I9" s="166"/>
      <c r="J9" s="12"/>
      <c r="K9" s="5"/>
      <c r="L9" s="5"/>
    </row>
    <row r="10" spans="2:12" ht="16.5" customHeight="1" x14ac:dyDescent="0.25">
      <c r="B10" s="158" t="s">
        <v>75</v>
      </c>
      <c r="C10" s="159"/>
      <c r="D10" s="159"/>
      <c r="E10" s="159"/>
      <c r="F10" s="160"/>
      <c r="G10" s="164">
        <f t="shared" si="0"/>
        <v>1.4100000000000108</v>
      </c>
      <c r="H10" s="165"/>
      <c r="I10" s="166"/>
      <c r="J10" s="12"/>
      <c r="K10" s="5"/>
      <c r="L10" s="5"/>
    </row>
    <row r="11" spans="2:12" ht="16.5" customHeight="1" x14ac:dyDescent="0.25">
      <c r="B11" s="158" t="s">
        <v>76</v>
      </c>
      <c r="C11" s="159"/>
      <c r="D11" s="159"/>
      <c r="E11" s="159"/>
      <c r="F11" s="160"/>
      <c r="G11" s="164">
        <f t="shared" si="0"/>
        <v>1.5858194847049933</v>
      </c>
      <c r="H11" s="165"/>
      <c r="I11" s="166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4">
        <f t="shared" si="0"/>
        <v>1.41</v>
      </c>
      <c r="H12" s="165"/>
      <c r="I12" s="166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4">
        <f t="shared" si="0"/>
        <v>0.99999999999999223</v>
      </c>
      <c r="H13" s="165"/>
      <c r="I13" s="166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4" t="str">
        <f t="shared" si="0"/>
        <v>&gt;94</v>
      </c>
      <c r="H14" s="165"/>
      <c r="I14" s="166"/>
      <c r="J14" s="12"/>
      <c r="K14" s="5"/>
      <c r="L14" s="5"/>
    </row>
    <row r="15" spans="2:12" ht="16.5" customHeight="1" x14ac:dyDescent="0.25">
      <c r="B15" s="158" t="s">
        <v>79</v>
      </c>
      <c r="C15" s="159"/>
      <c r="D15" s="159"/>
      <c r="E15" s="159"/>
      <c r="F15" s="160"/>
      <c r="G15" s="164" t="str">
        <f t="shared" si="0"/>
        <v>&gt;10.0</v>
      </c>
      <c r="H15" s="165"/>
      <c r="I15" s="166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1" t="s">
        <v>17</v>
      </c>
      <c r="C17" s="162"/>
      <c r="D17" s="162"/>
      <c r="E17" s="162"/>
      <c r="F17" s="163"/>
      <c r="G17" s="161" t="s">
        <v>54</v>
      </c>
      <c r="H17" s="162"/>
      <c r="I17" s="163"/>
      <c r="K17" s="5"/>
      <c r="L17" s="5"/>
    </row>
    <row r="18" spans="2:12" ht="16.5" customHeight="1" x14ac:dyDescent="0.25">
      <c r="B18" s="158" t="s">
        <v>80</v>
      </c>
      <c r="C18" s="159"/>
      <c r="D18" s="159"/>
      <c r="E18" s="159"/>
      <c r="F18" s="160"/>
      <c r="G18" s="173">
        <f>K44</f>
        <v>5.689774851408437</v>
      </c>
      <c r="H18" s="174"/>
      <c r="I18" s="175"/>
      <c r="K18" s="5"/>
      <c r="L18" s="5"/>
    </row>
    <row r="19" spans="2:12" ht="16.5" customHeight="1" x14ac:dyDescent="0.25">
      <c r="B19" s="158" t="s">
        <v>81</v>
      </c>
      <c r="C19" s="159"/>
      <c r="D19" s="159"/>
      <c r="E19" s="159"/>
      <c r="F19" s="160"/>
      <c r="G19" s="130">
        <f t="shared" ref="G19:G23" si="1">K45</f>
        <v>0.68295191557088697</v>
      </c>
      <c r="H19" s="131"/>
      <c r="I19" s="132"/>
      <c r="K19" s="5"/>
      <c r="L19" s="5"/>
    </row>
    <row r="20" spans="2:12" ht="16.5" customHeight="1" x14ac:dyDescent="0.25">
      <c r="B20" s="158" t="s">
        <v>82</v>
      </c>
      <c r="C20" s="159"/>
      <c r="D20" s="159"/>
      <c r="E20" s="159"/>
      <c r="F20" s="160"/>
      <c r="G20" s="130">
        <f t="shared" si="1"/>
        <v>5.7348904344039761E-2</v>
      </c>
      <c r="H20" s="131"/>
      <c r="I20" s="132"/>
      <c r="J20" s="2"/>
      <c r="K20" s="5"/>
      <c r="L20" s="5"/>
    </row>
    <row r="21" spans="2:12" ht="16.5" customHeight="1" x14ac:dyDescent="0.25">
      <c r="B21" s="158" t="s">
        <v>49</v>
      </c>
      <c r="C21" s="159"/>
      <c r="D21" s="159"/>
      <c r="E21" s="159"/>
      <c r="F21" s="160"/>
      <c r="G21" s="130">
        <f t="shared" si="1"/>
        <v>3.9166544077653513E-2</v>
      </c>
      <c r="H21" s="131"/>
      <c r="I21" s="132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73">
        <f t="shared" si="1"/>
        <v>4.6590577924830745</v>
      </c>
      <c r="H22" s="174"/>
      <c r="I22" s="175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73">
        <f t="shared" si="1"/>
        <v>14.072196153430566</v>
      </c>
      <c r="H23" s="174"/>
      <c r="I23" s="175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>
        <v>84</v>
      </c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99.4</v>
      </c>
      <c r="F29" s="31"/>
      <c r="G29" s="32"/>
      <c r="H29" s="31"/>
      <c r="J29" s="33" t="s">
        <v>15</v>
      </c>
      <c r="K29" s="34">
        <f>LOOKUP("LBKF",B29:E51)</f>
        <v>99.54</v>
      </c>
      <c r="L29" s="35"/>
    </row>
    <row r="30" spans="2:12" ht="16.5" customHeight="1" x14ac:dyDescent="0.25">
      <c r="B30" s="119"/>
      <c r="C30" s="120">
        <v>4.0299999999999994</v>
      </c>
      <c r="D30" s="121"/>
      <c r="E30" s="30">
        <v>99.61</v>
      </c>
      <c r="F30" s="31">
        <f t="shared" ref="F30:F38" si="2">IF(E30&gt;0,IF(E30&lt;K$29,K$29-E30,0),0)</f>
        <v>0</v>
      </c>
      <c r="G30" s="32">
        <f t="shared" ref="G30:G38" si="3">IF(E30&gt;0,IF(E30&lt;=K$29,C30-C29,0),0)</f>
        <v>0</v>
      </c>
      <c r="H30" s="31">
        <f t="shared" ref="H30:H38" si="4">IF(E30&lt;=K$29,G30*(F29+F30)/2,0)</f>
        <v>0</v>
      </c>
      <c r="J30" s="37" t="s">
        <v>71</v>
      </c>
      <c r="K30" s="11">
        <f>SUM(H29:H51)</f>
        <v>8.3311500000000613</v>
      </c>
      <c r="L30" s="35"/>
    </row>
    <row r="31" spans="2:12" ht="16.5" customHeight="1" x14ac:dyDescent="0.25">
      <c r="B31" s="119"/>
      <c r="C31" s="120">
        <v>4.76</v>
      </c>
      <c r="D31" s="121"/>
      <c r="E31" s="30">
        <v>99.56</v>
      </c>
      <c r="F31" s="31">
        <f t="shared" si="2"/>
        <v>0</v>
      </c>
      <c r="G31" s="32">
        <f t="shared" si="3"/>
        <v>0</v>
      </c>
      <c r="H31" s="31">
        <f t="shared" si="4"/>
        <v>0</v>
      </c>
      <c r="J31" s="37" t="s">
        <v>72</v>
      </c>
      <c r="K31" s="11">
        <f>LOOKUP("RBKF",B29:C51)-LOOKUP("LBKF",B29:C51)</f>
        <v>9.370000000000001</v>
      </c>
      <c r="L31" s="35"/>
    </row>
    <row r="32" spans="2:12" ht="16.5" customHeight="1" x14ac:dyDescent="0.25">
      <c r="B32" s="119" t="s">
        <v>2</v>
      </c>
      <c r="C32" s="120">
        <v>4.8099999999999996</v>
      </c>
      <c r="D32" s="121"/>
      <c r="E32" s="30">
        <v>99.54</v>
      </c>
      <c r="F32" s="31">
        <f t="shared" si="2"/>
        <v>0</v>
      </c>
      <c r="G32" s="32">
        <f t="shared" si="3"/>
        <v>4.9999999999999822E-2</v>
      </c>
      <c r="H32" s="31">
        <f t="shared" si="4"/>
        <v>0</v>
      </c>
      <c r="J32" s="37" t="s">
        <v>73</v>
      </c>
      <c r="K32" s="11">
        <f>K30/K31</f>
        <v>0.88913020277481969</v>
      </c>
      <c r="L32" s="35"/>
    </row>
    <row r="33" spans="2:13" ht="16.5" customHeight="1" x14ac:dyDescent="0.25">
      <c r="B33" s="119"/>
      <c r="C33" s="120">
        <v>6.52</v>
      </c>
      <c r="D33" s="121"/>
      <c r="E33" s="30">
        <v>98.69</v>
      </c>
      <c r="F33" s="31">
        <f t="shared" si="2"/>
        <v>0.85000000000000853</v>
      </c>
      <c r="G33" s="32">
        <f t="shared" si="3"/>
        <v>1.71</v>
      </c>
      <c r="H33" s="31">
        <f t="shared" si="4"/>
        <v>0.72675000000000722</v>
      </c>
      <c r="J33" s="37" t="s">
        <v>74</v>
      </c>
      <c r="K33" s="38">
        <f>K31/K32</f>
        <v>10.538389057933102</v>
      </c>
      <c r="L33" s="35"/>
    </row>
    <row r="34" spans="2:13" ht="16.5" customHeight="1" x14ac:dyDescent="0.25">
      <c r="B34" s="119"/>
      <c r="C34" s="120">
        <v>9.69</v>
      </c>
      <c r="D34" s="121"/>
      <c r="E34" s="30">
        <v>98.39</v>
      </c>
      <c r="F34" s="31">
        <f t="shared" si="2"/>
        <v>1.1500000000000057</v>
      </c>
      <c r="G34" s="32">
        <f t="shared" si="3"/>
        <v>3.17</v>
      </c>
      <c r="H34" s="31">
        <f t="shared" si="4"/>
        <v>3.1700000000000226</v>
      </c>
      <c r="J34" s="37" t="s">
        <v>75</v>
      </c>
      <c r="K34" s="11">
        <f>MAX(F29:F51)</f>
        <v>1.4100000000000108</v>
      </c>
      <c r="L34" s="35"/>
    </row>
    <row r="35" spans="2:13" ht="16.5" customHeight="1" x14ac:dyDescent="0.25">
      <c r="B35" s="119"/>
      <c r="C35" s="120">
        <v>11.909999999999998</v>
      </c>
      <c r="D35" s="121"/>
      <c r="E35" s="30">
        <v>98.13</v>
      </c>
      <c r="F35" s="31">
        <f t="shared" si="2"/>
        <v>1.4100000000000108</v>
      </c>
      <c r="G35" s="32">
        <f t="shared" si="3"/>
        <v>2.2199999999999989</v>
      </c>
      <c r="H35" s="31">
        <f t="shared" si="4"/>
        <v>2.841600000000017</v>
      </c>
      <c r="J35" s="37" t="s">
        <v>76</v>
      </c>
      <c r="K35" s="39">
        <f>K34/K32</f>
        <v>1.5858194847049933</v>
      </c>
      <c r="L35" s="35"/>
    </row>
    <row r="36" spans="2:13" ht="16.5" customHeight="1" x14ac:dyDescent="0.25">
      <c r="B36" s="119"/>
      <c r="C36" s="120">
        <v>12.53</v>
      </c>
      <c r="D36" s="121"/>
      <c r="E36" s="30">
        <v>98.35</v>
      </c>
      <c r="F36" s="31">
        <f t="shared" si="2"/>
        <v>1.1900000000000119</v>
      </c>
      <c r="G36" s="32">
        <f t="shared" si="3"/>
        <v>0.62000000000000099</v>
      </c>
      <c r="H36" s="31">
        <f t="shared" si="4"/>
        <v>0.80600000000000838</v>
      </c>
      <c r="J36" s="40" t="s">
        <v>25</v>
      </c>
      <c r="K36" s="41">
        <v>1.41</v>
      </c>
      <c r="L36" s="35"/>
    </row>
    <row r="37" spans="2:13" ht="16.5" customHeight="1" x14ac:dyDescent="0.25">
      <c r="B37" s="119"/>
      <c r="C37" s="120">
        <v>13.270000000000001</v>
      </c>
      <c r="D37" s="121"/>
      <c r="E37" s="30">
        <v>99.12</v>
      </c>
      <c r="F37" s="31">
        <f t="shared" si="2"/>
        <v>0.42000000000000171</v>
      </c>
      <c r="G37" s="32">
        <f t="shared" si="3"/>
        <v>0.74000000000000199</v>
      </c>
      <c r="H37" s="31">
        <f t="shared" si="4"/>
        <v>0.59570000000000667</v>
      </c>
      <c r="J37" s="40" t="s">
        <v>77</v>
      </c>
      <c r="K37" s="42">
        <f>+K36/K34</f>
        <v>0.99999999999999223</v>
      </c>
      <c r="L37" s="35"/>
    </row>
    <row r="38" spans="2:13" ht="16.5" customHeight="1" x14ac:dyDescent="0.25">
      <c r="B38" s="119" t="s">
        <v>3</v>
      </c>
      <c r="C38" s="120">
        <v>14.180000000000001</v>
      </c>
      <c r="D38" s="121"/>
      <c r="E38" s="30">
        <v>99.54</v>
      </c>
      <c r="F38" s="31">
        <f t="shared" si="2"/>
        <v>0</v>
      </c>
      <c r="G38" s="32">
        <f t="shared" si="3"/>
        <v>0.91000000000000014</v>
      </c>
      <c r="H38" s="31">
        <f t="shared" si="4"/>
        <v>0.1911000000000008</v>
      </c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>
        <v>16.659999999999997</v>
      </c>
      <c r="D39" s="121"/>
      <c r="E39" s="30">
        <v>99.61</v>
      </c>
      <c r="F39" s="31">
        <f t="shared" ref="F39" si="5">IF(E39&gt;0,IF(E39&lt;K$29,K$29-E39,0),0)</f>
        <v>0</v>
      </c>
      <c r="G39" s="32">
        <f t="shared" ref="G39" si="6">IF(E39&gt;0,IF(E39&lt;=K$29,C39-C38,0),0)</f>
        <v>0</v>
      </c>
      <c r="H39" s="31">
        <f t="shared" ref="H39" si="7">IF(E39&lt;=K$29,G39*(F38+F39)/2,0)</f>
        <v>0</v>
      </c>
      <c r="J39" s="37" t="s">
        <v>79</v>
      </c>
      <c r="K39" s="11" t="s">
        <v>109</v>
      </c>
      <c r="L39" s="35"/>
    </row>
    <row r="40" spans="2:13" ht="16.5" customHeight="1" x14ac:dyDescent="0.25">
      <c r="B40" s="119"/>
      <c r="C40" s="120"/>
      <c r="D40" s="121"/>
      <c r="E40" s="30"/>
      <c r="F40" s="31"/>
      <c r="G40" s="32"/>
      <c r="H40" s="31"/>
      <c r="J40" s="37" t="s">
        <v>8</v>
      </c>
      <c r="K40" s="108">
        <f>+'Longitudinal Profile'!$H$9</f>
        <v>1.2298232129131438E-3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6.3E-2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11.148260405549641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0.74730493340941229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5.689774851408437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0.68295191557088697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5.7348904344039761E-2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3.9166544077653513E-2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4.6590577924830745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14.072196153430566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3" sqref="E3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89.724137931034477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130.1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0.16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1.2298232129131438E-3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1.7832436587240585E-3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1.45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>
        <v>0</v>
      </c>
      <c r="D15" s="36"/>
      <c r="E15" s="30">
        <v>98.56</v>
      </c>
      <c r="F15" s="36"/>
      <c r="G15" s="30">
        <v>99.2</v>
      </c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>
        <v>7.51</v>
      </c>
      <c r="D16" s="36"/>
      <c r="E16" s="30">
        <v>98.61</v>
      </c>
      <c r="F16" s="36"/>
      <c r="G16" s="30"/>
      <c r="H16" s="36"/>
      <c r="I16" s="30"/>
      <c r="J16" s="36"/>
      <c r="K16" s="30"/>
      <c r="L16" s="11">
        <f t="shared" ref="L16:L29" si="0">C16-C15</f>
        <v>7.51</v>
      </c>
      <c r="M16" s="30">
        <f t="shared" ref="M16:M29" si="1">-(G16-G15)</f>
        <v>99.2</v>
      </c>
      <c r="N16" s="87">
        <f>M16/L16</f>
        <v>13.209054593874834</v>
      </c>
      <c r="O16" s="88"/>
      <c r="P16" s="88"/>
    </row>
    <row r="17" spans="2:16" ht="16.5" customHeight="1" x14ac:dyDescent="0.3">
      <c r="B17" s="56"/>
      <c r="C17" s="29">
        <v>14.18</v>
      </c>
      <c r="D17" s="36"/>
      <c r="E17" s="30">
        <v>98.38</v>
      </c>
      <c r="F17" s="36"/>
      <c r="G17" s="30">
        <v>99.17</v>
      </c>
      <c r="H17" s="36"/>
      <c r="I17" s="30"/>
      <c r="J17" s="36"/>
      <c r="K17" s="30"/>
      <c r="L17" s="11">
        <f t="shared" si="0"/>
        <v>6.67</v>
      </c>
      <c r="M17" s="30">
        <f t="shared" si="1"/>
        <v>-99.17</v>
      </c>
      <c r="N17" s="87">
        <f t="shared" ref="N17:N27" si="2">M17/L17</f>
        <v>-14.868065967016491</v>
      </c>
      <c r="O17" s="88"/>
      <c r="P17" s="88"/>
    </row>
    <row r="18" spans="2:16" ht="16.5" customHeight="1" x14ac:dyDescent="0.3">
      <c r="B18" s="56"/>
      <c r="C18" s="29">
        <v>25.45</v>
      </c>
      <c r="D18" s="36"/>
      <c r="E18" s="30">
        <v>98.51</v>
      </c>
      <c r="F18" s="36"/>
      <c r="G18" s="30">
        <v>99.17</v>
      </c>
      <c r="H18" s="36"/>
      <c r="I18" s="30"/>
      <c r="J18" s="36"/>
      <c r="K18" s="30"/>
      <c r="L18" s="11">
        <f t="shared" si="0"/>
        <v>11.27</v>
      </c>
      <c r="M18" s="30">
        <f t="shared" si="1"/>
        <v>0</v>
      </c>
      <c r="N18" s="87">
        <f t="shared" si="2"/>
        <v>0</v>
      </c>
      <c r="O18" s="88"/>
      <c r="P18" s="88"/>
    </row>
    <row r="19" spans="2:16" ht="16.5" customHeight="1" x14ac:dyDescent="0.3">
      <c r="B19" s="56"/>
      <c r="C19" s="29">
        <v>29.75</v>
      </c>
      <c r="D19" s="36"/>
      <c r="E19" s="30">
        <v>97.95</v>
      </c>
      <c r="F19" s="36"/>
      <c r="G19" s="30"/>
      <c r="H19" s="36"/>
      <c r="I19" s="30"/>
      <c r="J19" s="36"/>
      <c r="K19" s="30"/>
      <c r="L19" s="11">
        <f t="shared" si="0"/>
        <v>4.3000000000000007</v>
      </c>
      <c r="M19" s="30">
        <f t="shared" si="1"/>
        <v>99.17</v>
      </c>
      <c r="N19" s="87">
        <f t="shared" si="2"/>
        <v>23.062790697674416</v>
      </c>
      <c r="O19" s="88"/>
      <c r="P19" s="88"/>
    </row>
    <row r="20" spans="2:16" ht="16.5" customHeight="1" x14ac:dyDescent="0.3">
      <c r="B20" s="56"/>
      <c r="C20" s="29">
        <v>37.32</v>
      </c>
      <c r="D20" s="36"/>
      <c r="E20" s="30">
        <v>97.15</v>
      </c>
      <c r="F20" s="36"/>
      <c r="G20" s="30">
        <v>99.14</v>
      </c>
      <c r="H20" s="36"/>
      <c r="I20" s="30"/>
      <c r="J20" s="36"/>
      <c r="K20" s="30"/>
      <c r="L20" s="11">
        <f t="shared" si="0"/>
        <v>7.57</v>
      </c>
      <c r="M20" s="30">
        <f t="shared" si="1"/>
        <v>-99.14</v>
      </c>
      <c r="N20" s="87">
        <f t="shared" si="2"/>
        <v>-13.096433289299867</v>
      </c>
      <c r="O20" s="88"/>
      <c r="P20" s="88"/>
    </row>
    <row r="21" spans="2:16" ht="16.5" customHeight="1" x14ac:dyDescent="0.3">
      <c r="B21" s="56"/>
      <c r="C21" s="29">
        <v>42.94</v>
      </c>
      <c r="D21" s="36"/>
      <c r="E21" s="30">
        <v>98.14</v>
      </c>
      <c r="F21" s="36"/>
      <c r="G21" s="30">
        <v>99.12</v>
      </c>
      <c r="H21" s="36"/>
      <c r="I21" s="30"/>
      <c r="J21" s="36"/>
      <c r="K21" s="30"/>
      <c r="L21" s="11">
        <f t="shared" si="0"/>
        <v>5.6199999999999974</v>
      </c>
      <c r="M21" s="30">
        <f t="shared" si="1"/>
        <v>1.9999999999996021E-2</v>
      </c>
      <c r="N21" s="87">
        <f t="shared" si="2"/>
        <v>3.5587188612092582E-3</v>
      </c>
      <c r="O21" s="88"/>
      <c r="P21" s="88"/>
    </row>
    <row r="22" spans="2:16" ht="16.5" customHeight="1" x14ac:dyDescent="0.3">
      <c r="B22" s="56"/>
      <c r="C22" s="29">
        <v>48.94</v>
      </c>
      <c r="D22" s="36"/>
      <c r="E22" s="30">
        <v>98.34</v>
      </c>
      <c r="F22" s="36"/>
      <c r="G22" s="30">
        <v>99.12</v>
      </c>
      <c r="H22" s="36"/>
      <c r="I22" s="30"/>
      <c r="J22" s="36"/>
      <c r="K22" s="30"/>
      <c r="L22" s="11">
        <f t="shared" si="0"/>
        <v>6</v>
      </c>
      <c r="M22" s="30">
        <f t="shared" si="1"/>
        <v>0</v>
      </c>
      <c r="N22" s="87">
        <f t="shared" si="2"/>
        <v>0</v>
      </c>
      <c r="O22" s="88"/>
      <c r="P22" s="88"/>
    </row>
    <row r="23" spans="2:16" ht="16.5" customHeight="1" x14ac:dyDescent="0.3">
      <c r="B23" s="56"/>
      <c r="C23" s="29">
        <v>54.46</v>
      </c>
      <c r="D23" s="36"/>
      <c r="E23" s="30">
        <v>98.02</v>
      </c>
      <c r="F23" s="36"/>
      <c r="G23" s="30"/>
      <c r="H23" s="36"/>
      <c r="I23" s="30"/>
      <c r="J23" s="36"/>
      <c r="K23" s="30"/>
      <c r="L23" s="11">
        <f>C23-C22</f>
        <v>5.5200000000000031</v>
      </c>
      <c r="M23" s="30">
        <f t="shared" si="1"/>
        <v>99.12</v>
      </c>
      <c r="N23" s="87">
        <f t="shared" si="2"/>
        <v>17.956521739130427</v>
      </c>
      <c r="O23" s="88"/>
      <c r="P23" s="88"/>
    </row>
    <row r="24" spans="2:16" ht="16.5" customHeight="1" x14ac:dyDescent="0.3">
      <c r="B24" s="56"/>
      <c r="C24" s="29">
        <v>61.12</v>
      </c>
      <c r="D24" s="36"/>
      <c r="E24" s="30">
        <v>98.11</v>
      </c>
      <c r="F24" s="36"/>
      <c r="G24" s="30">
        <v>99.14</v>
      </c>
      <c r="H24" s="36"/>
      <c r="I24" s="30"/>
      <c r="J24" s="36"/>
      <c r="K24" s="30"/>
      <c r="L24" s="11">
        <f t="shared" si="0"/>
        <v>6.6599999999999966</v>
      </c>
      <c r="M24" s="30">
        <f t="shared" si="1"/>
        <v>-99.14</v>
      </c>
      <c r="N24" s="87">
        <f t="shared" si="2"/>
        <v>-14.885885885885894</v>
      </c>
      <c r="O24" s="88"/>
      <c r="P24" s="88"/>
    </row>
    <row r="25" spans="2:16" ht="16.5" customHeight="1" x14ac:dyDescent="0.3">
      <c r="B25" s="56"/>
      <c r="C25" s="29">
        <v>69.03</v>
      </c>
      <c r="D25" s="36"/>
      <c r="E25" s="30">
        <v>97.55</v>
      </c>
      <c r="F25" s="36"/>
      <c r="G25" s="30">
        <v>99.12</v>
      </c>
      <c r="H25" s="36"/>
      <c r="I25" s="30"/>
      <c r="J25" s="36"/>
      <c r="K25" s="30"/>
      <c r="L25" s="11">
        <f t="shared" si="0"/>
        <v>7.9100000000000037</v>
      </c>
      <c r="M25" s="30">
        <f t="shared" si="1"/>
        <v>1.9999999999996021E-2</v>
      </c>
      <c r="N25" s="87">
        <f t="shared" si="2"/>
        <v>2.5284450063206084E-3</v>
      </c>
      <c r="O25" s="88"/>
      <c r="P25" s="88"/>
    </row>
    <row r="26" spans="2:16" ht="16.5" customHeight="1" x14ac:dyDescent="0.3">
      <c r="B26" s="56"/>
      <c r="C26" s="29">
        <v>72.47</v>
      </c>
      <c r="D26" s="36"/>
      <c r="E26" s="30">
        <v>97.49</v>
      </c>
      <c r="F26" s="36"/>
      <c r="G26" s="30">
        <v>99.12</v>
      </c>
      <c r="H26" s="36"/>
      <c r="I26" s="30"/>
      <c r="J26" s="36"/>
      <c r="K26" s="30"/>
      <c r="L26" s="11">
        <f t="shared" si="0"/>
        <v>3.4399999999999977</v>
      </c>
      <c r="M26" s="30">
        <f t="shared" si="1"/>
        <v>0</v>
      </c>
      <c r="N26" s="87">
        <f t="shared" si="2"/>
        <v>0</v>
      </c>
      <c r="O26" s="88"/>
      <c r="P26" s="88"/>
    </row>
    <row r="27" spans="2:16" ht="16.5" customHeight="1" x14ac:dyDescent="0.3">
      <c r="B27" s="56"/>
      <c r="C27" s="29">
        <v>82.38</v>
      </c>
      <c r="D27" s="36"/>
      <c r="E27" s="30">
        <v>98.11</v>
      </c>
      <c r="F27" s="36"/>
      <c r="G27" s="30">
        <v>99.14</v>
      </c>
      <c r="H27" s="36"/>
      <c r="I27" s="30"/>
      <c r="J27" s="36"/>
      <c r="K27" s="30"/>
      <c r="L27" s="11">
        <f t="shared" si="0"/>
        <v>9.9099999999999966</v>
      </c>
      <c r="M27" s="30">
        <f t="shared" si="1"/>
        <v>-1.9999999999996021E-2</v>
      </c>
      <c r="N27" s="87">
        <f t="shared" si="2"/>
        <v>-2.0181634712407698E-3</v>
      </c>
      <c r="O27" s="88"/>
      <c r="P27" s="88"/>
    </row>
    <row r="28" spans="2:16" ht="16.5" customHeight="1" x14ac:dyDescent="0.3">
      <c r="B28" s="56"/>
      <c r="C28" s="29">
        <v>87.04</v>
      </c>
      <c r="D28" s="36"/>
      <c r="E28" s="30">
        <v>98.23</v>
      </c>
      <c r="F28" s="36"/>
      <c r="G28" s="30"/>
      <c r="H28" s="36"/>
      <c r="I28" s="30"/>
      <c r="J28" s="36"/>
      <c r="K28" s="30"/>
      <c r="L28" s="11">
        <f t="shared" si="0"/>
        <v>4.6600000000000108</v>
      </c>
      <c r="M28" s="30">
        <f t="shared" si="1"/>
        <v>99.14</v>
      </c>
      <c r="N28" s="87">
        <f t="shared" ref="N28:N29" si="3">M28/L28</f>
        <v>21.274678111587935</v>
      </c>
      <c r="O28" s="88"/>
      <c r="P28" s="88"/>
    </row>
    <row r="29" spans="2:16" ht="16.5" customHeight="1" x14ac:dyDescent="0.3">
      <c r="B29" s="56"/>
      <c r="C29" s="29">
        <v>94.12</v>
      </c>
      <c r="D29" s="36"/>
      <c r="E29" s="30">
        <v>98.15</v>
      </c>
      <c r="F29" s="36"/>
      <c r="G29" s="30">
        <v>99.13</v>
      </c>
      <c r="H29" s="36"/>
      <c r="I29" s="30"/>
      <c r="J29" s="36"/>
      <c r="K29" s="30"/>
      <c r="L29" s="11">
        <f t="shared" si="0"/>
        <v>7.0799999999999983</v>
      </c>
      <c r="M29" s="30">
        <f t="shared" si="1"/>
        <v>-99.13</v>
      </c>
      <c r="N29" s="87">
        <f t="shared" si="3"/>
        <v>-14.001412429378533</v>
      </c>
      <c r="O29" s="88"/>
      <c r="P29" s="88"/>
    </row>
    <row r="30" spans="2:16" ht="16.5" customHeight="1" x14ac:dyDescent="0.3">
      <c r="B30" s="56"/>
      <c r="C30" s="29">
        <v>95.75</v>
      </c>
      <c r="D30" s="36"/>
      <c r="E30" s="30">
        <v>97.83</v>
      </c>
      <c r="F30" s="36"/>
      <c r="G30" s="30"/>
      <c r="H30" s="36"/>
      <c r="I30" s="30"/>
      <c r="J30" s="36"/>
      <c r="K30" s="30"/>
      <c r="L30" s="11">
        <f t="shared" ref="L30" si="4">C30-C29</f>
        <v>1.6299999999999955</v>
      </c>
      <c r="M30" s="30">
        <f t="shared" ref="M30" si="5">-(G30-G29)</f>
        <v>99.13</v>
      </c>
      <c r="N30" s="87">
        <f t="shared" ref="N30" si="6">M30/L30</f>
        <v>60.815950920245562</v>
      </c>
      <c r="O30" s="88"/>
      <c r="P30" s="88"/>
    </row>
    <row r="31" spans="2:16" ht="16.5" customHeight="1" x14ac:dyDescent="0.3">
      <c r="B31" s="56"/>
      <c r="C31" s="29">
        <v>102.42</v>
      </c>
      <c r="D31" s="36"/>
      <c r="E31" s="30">
        <v>97.38</v>
      </c>
      <c r="F31" s="36"/>
      <c r="G31" s="30">
        <v>99.09</v>
      </c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>
        <v>110.3</v>
      </c>
      <c r="D32" s="36"/>
      <c r="E32" s="30">
        <v>98.02</v>
      </c>
      <c r="F32" s="36"/>
      <c r="G32" s="30">
        <v>99.08</v>
      </c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>
        <v>113.54</v>
      </c>
      <c r="D33" s="36"/>
      <c r="E33" s="30">
        <v>98.64</v>
      </c>
      <c r="F33" s="36"/>
      <c r="G33" s="30">
        <v>99.11</v>
      </c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>
        <v>116.41</v>
      </c>
      <c r="D34" s="36"/>
      <c r="E34" s="30">
        <v>98.08</v>
      </c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>
        <v>119.95</v>
      </c>
      <c r="D35" s="36"/>
      <c r="E35" s="30">
        <v>97.52</v>
      </c>
      <c r="F35" s="36"/>
      <c r="G35" s="30">
        <v>99.06</v>
      </c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>
        <v>126.85</v>
      </c>
      <c r="D36" s="36"/>
      <c r="E36" s="30">
        <v>98.43</v>
      </c>
      <c r="F36" s="36"/>
      <c r="G36" s="30">
        <v>98.99</v>
      </c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>
        <v>130.13</v>
      </c>
      <c r="D37" s="91"/>
      <c r="E37" s="30">
        <v>98.63</v>
      </c>
      <c r="F37" s="36"/>
      <c r="G37" s="30">
        <v>99.04</v>
      </c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10" sqref="E10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>
        <v>39</v>
      </c>
      <c r="D7" s="102">
        <v>34</v>
      </c>
      <c r="E7" s="102">
        <v>30</v>
      </c>
      <c r="F7" s="102"/>
      <c r="G7" s="102"/>
      <c r="H7" s="13">
        <f>MIN(C7:G7)</f>
        <v>30</v>
      </c>
      <c r="I7" s="13">
        <f>MEDIAN(C7:G7)</f>
        <v>34</v>
      </c>
      <c r="J7" s="13">
        <f>MAX(C7:G7)</f>
        <v>39</v>
      </c>
    </row>
    <row r="8" spans="2:10" ht="16.5" customHeight="1" x14ac:dyDescent="0.25">
      <c r="B8" s="40" t="s">
        <v>26</v>
      </c>
      <c r="C8" s="102">
        <v>13</v>
      </c>
      <c r="D8" s="102">
        <v>16</v>
      </c>
      <c r="E8" s="102">
        <v>10</v>
      </c>
      <c r="F8" s="102"/>
      <c r="G8" s="102"/>
      <c r="H8" s="13">
        <f>MIN(C8:G8)</f>
        <v>10</v>
      </c>
      <c r="I8" s="13">
        <f>MEDIAN(C8:G8)</f>
        <v>13</v>
      </c>
      <c r="J8" s="13">
        <f>MAX(C8:G8)</f>
        <v>16</v>
      </c>
    </row>
    <row r="9" spans="2:10" ht="16.5" customHeight="1" x14ac:dyDescent="0.25">
      <c r="B9" s="40" t="s">
        <v>88</v>
      </c>
      <c r="C9" s="102">
        <v>26</v>
      </c>
      <c r="D9" s="102">
        <v>31</v>
      </c>
      <c r="E9" s="102">
        <v>31</v>
      </c>
      <c r="F9" s="102"/>
      <c r="G9" s="102"/>
      <c r="H9" s="13">
        <f>MIN(C9:G9)</f>
        <v>26</v>
      </c>
      <c r="I9" s="13">
        <f>MEDIAN(C9:G9)</f>
        <v>31</v>
      </c>
      <c r="J9" s="13">
        <f>MAX(C9:G9)</f>
        <v>31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