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35" i="81" l="1"/>
  <c r="F30" i="81"/>
  <c r="G30" i="81"/>
  <c r="H30" i="81"/>
  <c r="F31" i="81"/>
  <c r="G31" i="81"/>
  <c r="H31" i="81"/>
  <c r="F32" i="81"/>
  <c r="G32" i="81"/>
  <c r="H32" i="81"/>
  <c r="F33" i="81"/>
  <c r="G33" i="81"/>
  <c r="H33" i="81" s="1"/>
  <c r="F34" i="81"/>
  <c r="G34" i="81"/>
  <c r="H34" i="81" s="1"/>
  <c r="F35" i="81"/>
  <c r="G35" i="81"/>
  <c r="H35" i="81"/>
  <c r="F36" i="81"/>
  <c r="G36" i="81"/>
  <c r="H36" i="81"/>
  <c r="F37" i="81"/>
  <c r="G37" i="81"/>
  <c r="H37" i="81"/>
  <c r="K29" i="81" l="1"/>
  <c r="K31" i="81"/>
  <c r="K40" i="81"/>
  <c r="G12" i="81"/>
  <c r="C20" i="73" s="1"/>
  <c r="G14" i="81"/>
  <c r="C22" i="73" s="1"/>
  <c r="L30" i="70"/>
  <c r="L23" i="70"/>
  <c r="M30" i="70"/>
  <c r="U8" i="70"/>
  <c r="D41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N25" i="70" s="1"/>
  <c r="M26" i="70"/>
  <c r="N26" i="70" s="1"/>
  <c r="M27" i="70"/>
  <c r="N27" i="70" s="1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 s="1"/>
  <c r="H9" i="84"/>
  <c r="C37" i="73" s="1"/>
  <c r="J9" i="84"/>
  <c r="E37" i="73" s="1"/>
  <c r="J8" i="84"/>
  <c r="E35" i="73" s="1"/>
  <c r="E36" i="73" s="1"/>
  <c r="I8" i="84"/>
  <c r="D35" i="73" s="1"/>
  <c r="H8" i="84"/>
  <c r="C35" i="73" s="1"/>
  <c r="J7" i="84"/>
  <c r="E33" i="73"/>
  <c r="I7" i="84"/>
  <c r="D33" i="73" s="1"/>
  <c r="H7" i="84"/>
  <c r="C33" i="73"/>
  <c r="E15" i="73"/>
  <c r="C11" i="73"/>
  <c r="C12" i="73"/>
  <c r="M23" i="70"/>
  <c r="N23" i="70" s="1"/>
  <c r="N29" i="70"/>
  <c r="M20" i="70"/>
  <c r="N20" i="70" s="1"/>
  <c r="M19" i="70"/>
  <c r="M22" i="70"/>
  <c r="N22" i="70" s="1"/>
  <c r="M21" i="70"/>
  <c r="N21" i="70" s="1"/>
  <c r="M17" i="70"/>
  <c r="N17" i="70"/>
  <c r="M18" i="70"/>
  <c r="N18" i="70" s="1"/>
  <c r="M16" i="70"/>
  <c r="N16" i="70"/>
  <c r="C10" i="73"/>
  <c r="E48" i="73" s="1"/>
  <c r="D15" i="73"/>
  <c r="D23" i="73"/>
  <c r="E23" i="73"/>
  <c r="E46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36" i="73" l="1"/>
  <c r="C48" i="73"/>
  <c r="C46" i="73"/>
  <c r="E34" i="73"/>
  <c r="D44" i="73"/>
  <c r="D46" i="73"/>
  <c r="C38" i="73"/>
  <c r="E38" i="73"/>
  <c r="D34" i="73"/>
  <c r="C44" i="73"/>
  <c r="D38" i="73"/>
  <c r="E42" i="73"/>
  <c r="D36" i="73"/>
  <c r="E44" i="73"/>
  <c r="D42" i="73"/>
  <c r="C34" i="73"/>
  <c r="C42" i="73"/>
  <c r="N28" i="70"/>
  <c r="N24" i="70"/>
  <c r="N19" i="70"/>
  <c r="N30" i="70"/>
  <c r="H38" i="81"/>
  <c r="F38" i="81"/>
  <c r="G38" i="81"/>
  <c r="K39" i="81"/>
  <c r="G15" i="81" s="1"/>
  <c r="C23" i="73" s="1"/>
  <c r="G7" i="81"/>
  <c r="C15" i="73" s="1"/>
  <c r="K34" i="81" l="1"/>
  <c r="K30" i="81" l="1"/>
  <c r="K32" i="81" s="1"/>
  <c r="G10" i="81"/>
  <c r="C18" i="73" s="1"/>
  <c r="K37" i="81"/>
  <c r="G13" i="81" s="1"/>
  <c r="C21" i="73" s="1"/>
  <c r="K33" i="81" l="1"/>
  <c r="G9" i="81" s="1"/>
  <c r="C17" i="73" s="1"/>
  <c r="G11" i="81"/>
  <c r="C19" i="73" s="1"/>
  <c r="K42" i="81"/>
  <c r="K43" i="81" s="1"/>
  <c r="K46" i="81" s="1"/>
  <c r="G8" i="81"/>
  <c r="C16" i="73" s="1"/>
  <c r="G6" i="81"/>
  <c r="C14" i="73" s="1"/>
  <c r="K44" i="81" l="1"/>
  <c r="G18" i="81" s="1"/>
  <c r="C25" i="73" s="1"/>
  <c r="K48" i="81"/>
  <c r="G22" i="81" s="1"/>
  <c r="C29" i="73" s="1"/>
  <c r="G20" i="81"/>
  <c r="C27" i="73" s="1"/>
  <c r="K49" i="81"/>
  <c r="G23" i="81" s="1"/>
  <c r="C30" i="73" s="1"/>
  <c r="K45" i="81" l="1"/>
  <c r="G19" i="81" s="1"/>
  <c r="C26" i="73" s="1"/>
  <c r="K47" i="81" l="1"/>
  <c r="G21" i="81" s="1"/>
  <c r="C28" i="73" s="1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<sst xmlns="http://schemas.openxmlformats.org/spreadsheetml/2006/main" count="170" uniqueCount="109">
  <si>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</si>
  <si>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</si>
  <si>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</si>
  <si>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</si>
  <si>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</si>
  <si>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</si>
  <si>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</si>
  <si>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</si>
  <si>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</si>
  <si>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</si>
  <si>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</si>
  <si>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</si>
  <si>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</si>
  <si>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</si>
  <si>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</si>
  <si>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</si>
  <si>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</si>
  <si>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</si>
  <si>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</si>
  <si>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</si>
  <si>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</si>
  <si>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</si>
  <si>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</si>
  <si>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</si>
  <si>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</si>
  <si>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</si>
  <si>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</si>
  <si>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</si>
  <si>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</si>
  <si>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</si>
  <si>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</si>
  <si>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</si>
  <si>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</si>
  <si>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</si>
  <si>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</si>
  <si>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</si>
  <si>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</si>
  <si>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</si>
  <si>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</si>
  <si>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</si>
  <si>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</si>
  <si>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</si>
  <si>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</si>
  <si>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</si>
  <si>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</si>
  <si>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</si>
  <si>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</si>
  <si>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</si>
  <si>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</si>
  <si>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</si>
  <si>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</si>
  <si>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</si>
  <si>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</si>
  <si>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</si>
  <si>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</si>
  <si>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</si>
  <si>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</si>
  <si>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</si>
  <si>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</si>
  <si>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</si>
  <si>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</si>
  <si>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</si>
  <si>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</si>
  <si>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</si>
  <si>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</si>
  <si>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</si>
  <si>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</si>
  <si>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</si>
  <si>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</si>
  <si>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</si>
  <si>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</si>
  <si>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</si>
  <si>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</si>
  <si>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</si>
  <si>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</si>
  <si>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</si>
  <si>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</si>
  <si>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</si>
  <si>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</si>
  <si>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</si>
  <si>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</si>
  <si>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</si>
  <si>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</si>
  <si>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</si>
  <si>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</si>
  <si>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</si>
  <si>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</si>
  <si>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</si>
  <si>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</si>
  <si>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</si>
  <si>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</si>
  <si>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</si>
  <si>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</si>
  <si>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</si>
  <si>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</si>
  <si>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</si>
  <si>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</si>
  <si>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</si>
  <si>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</si>
  <si>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</si>
  <si>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</si>
  <si>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</si>
  <si>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</si>
  <si>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</si>
  <si>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Black Creek, Carolina Sandhills NWR</t>
  </si>
  <si>
    <t>34.558225, -80.172544</t>
  </si>
  <si>
    <t>UT Black Creek</t>
  </si>
  <si>
    <t>sand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</si>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</sst>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15.61</c:v>
                </c:pt>
                <c:pt idx="2">
                  <c:v>17.82</c:v>
                </c:pt>
                <c:pt idx="3">
                  <c:v>17.899999999999999</c:v>
                </c:pt>
                <c:pt idx="4">
                  <c:v>19.850000000000001</c:v>
                </c:pt>
                <c:pt idx="5">
                  <c:v>21.75</c:v>
                </c:pt>
                <c:pt idx="6">
                  <c:v>23.980000000000004</c:v>
                </c:pt>
                <c:pt idx="7">
                  <c:v>25.67</c:v>
                </c:pt>
                <c:pt idx="8">
                  <c:v>34.090000000000003</c:v>
                </c:pt>
                <c:pt idx="9">
                  <c:v>44.1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99.38</c:v>
                </c:pt>
                <c:pt idx="1">
                  <c:v>99.64</c:v>
                </c:pt>
                <c:pt idx="2">
                  <c:v>98.69</c:v>
                </c:pt>
                <c:pt idx="3">
                  <c:v>98.67</c:v>
                </c:pt>
                <c:pt idx="4">
                  <c:v>98.02</c:v>
                </c:pt>
                <c:pt idx="5">
                  <c:v>97.53</c:v>
                </c:pt>
                <c:pt idx="6">
                  <c:v>97.85</c:v>
                </c:pt>
                <c:pt idx="7">
                  <c:v>98.67</c:v>
                </c:pt>
                <c:pt idx="8">
                  <c:v>99.43</c:v>
                </c:pt>
                <c:pt idx="9">
                  <c:v>100.43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025160"/>
        <c:axId val="339025552"/>
      </c:scatterChart>
      <c:valAx>
        <c:axId val="3390251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9025552"/>
        <c:crosses val="autoZero"/>
        <c:crossBetween val="midCat"/>
      </c:valAx>
      <c:valAx>
        <c:axId val="339025552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902516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6.63</c:v>
                </c:pt>
                <c:pt idx="2">
                  <c:v>10.27</c:v>
                </c:pt>
                <c:pt idx="3">
                  <c:v>15.01</c:v>
                </c:pt>
                <c:pt idx="4">
                  <c:v>21.78</c:v>
                </c:pt>
                <c:pt idx="5">
                  <c:v>26.4</c:v>
                </c:pt>
                <c:pt idx="6">
                  <c:v>30.29</c:v>
                </c:pt>
                <c:pt idx="7">
                  <c:v>33.64</c:v>
                </c:pt>
                <c:pt idx="8">
                  <c:v>38.92</c:v>
                </c:pt>
                <c:pt idx="9">
                  <c:v>43.62</c:v>
                </c:pt>
                <c:pt idx="10">
                  <c:v>49.26</c:v>
                </c:pt>
                <c:pt idx="11">
                  <c:v>57</c:v>
                </c:pt>
                <c:pt idx="12">
                  <c:v>61.67</c:v>
                </c:pt>
                <c:pt idx="13">
                  <c:v>68.09</c:v>
                </c:pt>
                <c:pt idx="14">
                  <c:v>73.260000000000005</c:v>
                </c:pt>
                <c:pt idx="15">
                  <c:v>78.22</c:v>
                </c:pt>
                <c:pt idx="16">
                  <c:v>81.010000000000005</c:v>
                </c:pt>
                <c:pt idx="17">
                  <c:v>83.31</c:v>
                </c:pt>
                <c:pt idx="18">
                  <c:v>86.96</c:v>
                </c:pt>
                <c:pt idx="19">
                  <c:v>94.06</c:v>
                </c:pt>
                <c:pt idx="20">
                  <c:v>97.32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97.76</c:v>
                </c:pt>
                <c:pt idx="1">
                  <c:v>97.3</c:v>
                </c:pt>
                <c:pt idx="2">
                  <c:v>97.31</c:v>
                </c:pt>
                <c:pt idx="3">
                  <c:v>97.32</c:v>
                </c:pt>
                <c:pt idx="4">
                  <c:v>97.56</c:v>
                </c:pt>
                <c:pt idx="5">
                  <c:v>97.53</c:v>
                </c:pt>
                <c:pt idx="6">
                  <c:v>97.19</c:v>
                </c:pt>
                <c:pt idx="7">
                  <c:v>96.98</c:v>
                </c:pt>
                <c:pt idx="8">
                  <c:v>97.07</c:v>
                </c:pt>
                <c:pt idx="9">
                  <c:v>97.12</c:v>
                </c:pt>
                <c:pt idx="10">
                  <c:v>97.07</c:v>
                </c:pt>
                <c:pt idx="11">
                  <c:v>97.12</c:v>
                </c:pt>
                <c:pt idx="12">
                  <c:v>97.02</c:v>
                </c:pt>
                <c:pt idx="13">
                  <c:v>97.05</c:v>
                </c:pt>
                <c:pt idx="14">
                  <c:v>97.19</c:v>
                </c:pt>
                <c:pt idx="15">
                  <c:v>97.36</c:v>
                </c:pt>
                <c:pt idx="16">
                  <c:v>97.16</c:v>
                </c:pt>
                <c:pt idx="17">
                  <c:v>96.8</c:v>
                </c:pt>
                <c:pt idx="18">
                  <c:v>97.03</c:v>
                </c:pt>
                <c:pt idx="19">
                  <c:v>96.98</c:v>
                </c:pt>
                <c:pt idx="20">
                  <c:v>96.79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6.63</c:v>
                </c:pt>
                <c:pt idx="2">
                  <c:v>10.27</c:v>
                </c:pt>
                <c:pt idx="3">
                  <c:v>15.01</c:v>
                </c:pt>
                <c:pt idx="4">
                  <c:v>21.78</c:v>
                </c:pt>
                <c:pt idx="5">
                  <c:v>26.4</c:v>
                </c:pt>
                <c:pt idx="6">
                  <c:v>30.29</c:v>
                </c:pt>
                <c:pt idx="7">
                  <c:v>33.64</c:v>
                </c:pt>
                <c:pt idx="8">
                  <c:v>38.92</c:v>
                </c:pt>
                <c:pt idx="9">
                  <c:v>43.62</c:v>
                </c:pt>
                <c:pt idx="10">
                  <c:v>49.26</c:v>
                </c:pt>
                <c:pt idx="11">
                  <c:v>57</c:v>
                </c:pt>
                <c:pt idx="12">
                  <c:v>61.67</c:v>
                </c:pt>
                <c:pt idx="13">
                  <c:v>68.09</c:v>
                </c:pt>
                <c:pt idx="14">
                  <c:v>73.260000000000005</c:v>
                </c:pt>
                <c:pt idx="15">
                  <c:v>78.22</c:v>
                </c:pt>
                <c:pt idx="16">
                  <c:v>81.010000000000005</c:v>
                </c:pt>
                <c:pt idx="17">
                  <c:v>83.31</c:v>
                </c:pt>
                <c:pt idx="18">
                  <c:v>86.96</c:v>
                </c:pt>
                <c:pt idx="19">
                  <c:v>94.06</c:v>
                </c:pt>
                <c:pt idx="20">
                  <c:v>97.32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98.12</c:v>
                </c:pt>
                <c:pt idx="2">
                  <c:v>97.95</c:v>
                </c:pt>
                <c:pt idx="4">
                  <c:v>97.96</c:v>
                </c:pt>
                <c:pt idx="6">
                  <c:v>97.97</c:v>
                </c:pt>
                <c:pt idx="7">
                  <c:v>97.94</c:v>
                </c:pt>
                <c:pt idx="8">
                  <c:v>97.9</c:v>
                </c:pt>
                <c:pt idx="9">
                  <c:v>97.92</c:v>
                </c:pt>
                <c:pt idx="10">
                  <c:v>97.9</c:v>
                </c:pt>
                <c:pt idx="12">
                  <c:v>97.9</c:v>
                </c:pt>
                <c:pt idx="13">
                  <c:v>97.92</c:v>
                </c:pt>
                <c:pt idx="14">
                  <c:v>97.92</c:v>
                </c:pt>
                <c:pt idx="16">
                  <c:v>97.84</c:v>
                </c:pt>
                <c:pt idx="18">
                  <c:v>97.86</c:v>
                </c:pt>
                <c:pt idx="19">
                  <c:v>97.64</c:v>
                </c:pt>
                <c:pt idx="20">
                  <c:v>97.66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027120"/>
        <c:axId val="33902751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6.63</c:v>
                      </c:pt>
                      <c:pt idx="2">
                        <c:v>10.27</c:v>
                      </c:pt>
                      <c:pt idx="3">
                        <c:v>15.01</c:v>
                      </c:pt>
                      <c:pt idx="4">
                        <c:v>21.78</c:v>
                      </c:pt>
                      <c:pt idx="5">
                        <c:v>26.4</c:v>
                      </c:pt>
                      <c:pt idx="6">
                        <c:v>30.29</c:v>
                      </c:pt>
                      <c:pt idx="7">
                        <c:v>33.64</c:v>
                      </c:pt>
                      <c:pt idx="8">
                        <c:v>38.92</c:v>
                      </c:pt>
                      <c:pt idx="9">
                        <c:v>43.62</c:v>
                      </c:pt>
                      <c:pt idx="10">
                        <c:v>49.26</c:v>
                      </c:pt>
                      <c:pt idx="11">
                        <c:v>57</c:v>
                      </c:pt>
                      <c:pt idx="12">
                        <c:v>61.67</c:v>
                      </c:pt>
                      <c:pt idx="13">
                        <c:v>68.09</c:v>
                      </c:pt>
                      <c:pt idx="14">
                        <c:v>73.260000000000005</c:v>
                      </c:pt>
                      <c:pt idx="15">
                        <c:v>78.22</c:v>
                      </c:pt>
                      <c:pt idx="16">
                        <c:v>81.010000000000005</c:v>
                      </c:pt>
                      <c:pt idx="17">
                        <c:v>83.31</c:v>
                      </c:pt>
                      <c:pt idx="18">
                        <c:v>86.96</c:v>
                      </c:pt>
                      <c:pt idx="19">
                        <c:v>94.06</c:v>
                      </c:pt>
                      <c:pt idx="20">
                        <c:v>97.32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6.63</c:v>
                      </c:pt>
                      <c:pt idx="2">
                        <c:v>10.27</c:v>
                      </c:pt>
                      <c:pt idx="3">
                        <c:v>15.01</c:v>
                      </c:pt>
                      <c:pt idx="4">
                        <c:v>21.78</c:v>
                      </c:pt>
                      <c:pt idx="5">
                        <c:v>26.4</c:v>
                      </c:pt>
                      <c:pt idx="6">
                        <c:v>30.29</c:v>
                      </c:pt>
                      <c:pt idx="7">
                        <c:v>33.64</c:v>
                      </c:pt>
                      <c:pt idx="8">
                        <c:v>38.92</c:v>
                      </c:pt>
                      <c:pt idx="9">
                        <c:v>43.62</c:v>
                      </c:pt>
                      <c:pt idx="10">
                        <c:v>49.26</c:v>
                      </c:pt>
                      <c:pt idx="11">
                        <c:v>57</c:v>
                      </c:pt>
                      <c:pt idx="12">
                        <c:v>61.67</c:v>
                      </c:pt>
                      <c:pt idx="13">
                        <c:v>68.09</c:v>
                      </c:pt>
                      <c:pt idx="14">
                        <c:v>73.260000000000005</c:v>
                      </c:pt>
                      <c:pt idx="15">
                        <c:v>78.22</c:v>
                      </c:pt>
                      <c:pt idx="16">
                        <c:v>81.010000000000005</c:v>
                      </c:pt>
                      <c:pt idx="17">
                        <c:v>83.31</c:v>
                      </c:pt>
                      <c:pt idx="18">
                        <c:v>86.96</c:v>
                      </c:pt>
                      <c:pt idx="19">
                        <c:v>94.06</c:v>
                      </c:pt>
                      <c:pt idx="20">
                        <c:v>97.32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9027120"/>
        <c:scaling>
          <c:orientation val="minMax"/>
          <c:max val="1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9027512"/>
        <c:crosses val="autoZero"/>
        <c:crossBetween val="midCat"/>
        <c:minorUnit val="25"/>
      </c:valAx>
      <c:valAx>
        <c:axId val="33902751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902712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C9" sqref="C9:E9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108</v>
      </c>
      <c r="D7" s="138"/>
      <c r="E7" s="139"/>
    </row>
    <row r="8" spans="2:5" ht="16.95" customHeight="1" x14ac:dyDescent="0.25">
      <c r="B8" s="15" t="s">
        <v>21</v>
      </c>
      <c r="C8" s="140">
        <v>0.81</v>
      </c>
      <c r="D8" s="141"/>
      <c r="E8" s="142"/>
    </row>
    <row r="9" spans="2:5" ht="16.95" customHeight="1" x14ac:dyDescent="0.25">
      <c r="B9" s="15" t="s">
        <v>89</v>
      </c>
      <c r="C9" s="152" t="s">
        <v>107</v>
      </c>
      <c r="D9" s="153"/>
      <c r="E9" s="154"/>
    </row>
    <row r="10" spans="2:5" ht="16.95" customHeight="1" x14ac:dyDescent="0.25">
      <c r="B10" s="15" t="s">
        <v>52</v>
      </c>
      <c r="C10" s="146">
        <f>'Longitudinal Profile'!H9</f>
        <v>4.7276464542651596E-3</v>
      </c>
      <c r="D10" s="147"/>
      <c r="E10" s="148"/>
    </row>
    <row r="11" spans="2:5" ht="16.95" customHeight="1" x14ac:dyDescent="0.25">
      <c r="B11" s="15" t="s">
        <v>53</v>
      </c>
      <c r="C11" s="155">
        <f>'Longitudinal Profile'!H11</f>
        <v>1.19</v>
      </c>
      <c r="D11" s="156"/>
      <c r="E11" s="157"/>
    </row>
    <row r="12" spans="2:5" ht="16.95" customHeight="1" thickBot="1" x14ac:dyDescent="0.3">
      <c r="B12" s="15" t="s">
        <v>23</v>
      </c>
      <c r="C12" s="149">
        <f>'Longitudinal Profile'!H7</f>
        <v>97.3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5.2125500000000287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7.7700000000000031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0.67085585585585927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11.582219834821673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1.1400000000000006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1.6993218290471956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1.1399999999999999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0.99999999999999944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>
        <f>'Cross-section'!G14</f>
        <v>42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>
        <f>'Cross-section'!G15</f>
        <v>5.4054054054054035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6.6898385089495438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1.2834099450268117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0.16876401324184945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0.21659341295722612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13.710484968783424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41.411084050227004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24</v>
      </c>
      <c r="D33" s="13">
        <f>'Planform Geometry'!I7</f>
        <v>37</v>
      </c>
      <c r="E33" s="13">
        <f>'Planform Geometry'!J7</f>
        <v>50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13</v>
      </c>
      <c r="D35" s="13">
        <f>+'Planform Geometry'!I8</f>
        <v>21</v>
      </c>
      <c r="E35" s="13">
        <f>+'Planform Geometry'!J8</f>
        <v>36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11</v>
      </c>
      <c r="D37" s="13">
        <f>+'Planform Geometry'!I9</f>
        <v>15</v>
      </c>
      <c r="E37" s="13">
        <f>+'Planform Geometry'!J9</f>
        <v>18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H2" sqref="H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58" t="s">
        <v>71</v>
      </c>
      <c r="C6" s="159"/>
      <c r="D6" s="159"/>
      <c r="E6" s="159"/>
      <c r="F6" s="160"/>
      <c r="G6" s="164">
        <f>K30</f>
        <v>5.2125500000000287</v>
      </c>
      <c r="H6" s="165"/>
      <c r="I6" s="166"/>
      <c r="K6" s="5"/>
      <c r="L6" s="5"/>
    </row>
    <row r="7" spans="2:12" ht="16.5" customHeight="1" x14ac:dyDescent="0.25">
      <c r="B7" s="158" t="s">
        <v>72</v>
      </c>
      <c r="C7" s="159"/>
      <c r="D7" s="159"/>
      <c r="E7" s="159"/>
      <c r="F7" s="160"/>
      <c r="G7" s="164">
        <f t="shared" ref="G7:G15" si="0">K31</f>
        <v>7.7700000000000031</v>
      </c>
      <c r="H7" s="165"/>
      <c r="I7" s="166"/>
      <c r="J7" s="12"/>
      <c r="K7" s="5"/>
      <c r="L7" s="5"/>
    </row>
    <row r="8" spans="2:12" ht="16.5" customHeight="1" x14ac:dyDescent="0.25">
      <c r="B8" s="158" t="s">
        <v>73</v>
      </c>
      <c r="C8" s="159"/>
      <c r="D8" s="159"/>
      <c r="E8" s="159"/>
      <c r="F8" s="160"/>
      <c r="G8" s="164">
        <f t="shared" si="0"/>
        <v>0.67085585585585927</v>
      </c>
      <c r="H8" s="165"/>
      <c r="I8" s="166"/>
      <c r="J8" s="12"/>
      <c r="K8" s="5"/>
      <c r="L8" s="5"/>
    </row>
    <row r="9" spans="2:12" ht="16.5" customHeight="1" x14ac:dyDescent="0.25">
      <c r="B9" s="158" t="s">
        <v>74</v>
      </c>
      <c r="C9" s="159"/>
      <c r="D9" s="159"/>
      <c r="E9" s="159"/>
      <c r="F9" s="160"/>
      <c r="G9" s="164">
        <f t="shared" si="0"/>
        <v>11.582219834821673</v>
      </c>
      <c r="H9" s="165"/>
      <c r="I9" s="166"/>
      <c r="J9" s="12"/>
      <c r="K9" s="5"/>
      <c r="L9" s="5"/>
    </row>
    <row r="10" spans="2:12" ht="16.5" customHeight="1" x14ac:dyDescent="0.25">
      <c r="B10" s="158" t="s">
        <v>75</v>
      </c>
      <c r="C10" s="159"/>
      <c r="D10" s="159"/>
      <c r="E10" s="159"/>
      <c r="F10" s="160"/>
      <c r="G10" s="164">
        <f t="shared" si="0"/>
        <v>1.1400000000000006</v>
      </c>
      <c r="H10" s="165"/>
      <c r="I10" s="166"/>
      <c r="J10" s="12"/>
      <c r="K10" s="5"/>
      <c r="L10" s="5"/>
    </row>
    <row r="11" spans="2:12" ht="16.5" customHeight="1" x14ac:dyDescent="0.25">
      <c r="B11" s="158" t="s">
        <v>76</v>
      </c>
      <c r="C11" s="159"/>
      <c r="D11" s="159"/>
      <c r="E11" s="159"/>
      <c r="F11" s="160"/>
      <c r="G11" s="164">
        <f t="shared" si="0"/>
        <v>1.6993218290471956</v>
      </c>
      <c r="H11" s="165"/>
      <c r="I11" s="166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4">
        <f t="shared" si="0"/>
        <v>1.1399999999999999</v>
      </c>
      <c r="H12" s="165"/>
      <c r="I12" s="166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4">
        <f t="shared" si="0"/>
        <v>0.99999999999999944</v>
      </c>
      <c r="H13" s="165"/>
      <c r="I13" s="166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4">
        <f t="shared" si="0"/>
        <v>42</v>
      </c>
      <c r="H14" s="165"/>
      <c r="I14" s="166"/>
      <c r="J14" s="12"/>
      <c r="K14" s="5"/>
      <c r="L14" s="5"/>
    </row>
    <row r="15" spans="2:12" ht="16.5" customHeight="1" x14ac:dyDescent="0.25">
      <c r="B15" s="158" t="s">
        <v>79</v>
      </c>
      <c r="C15" s="159"/>
      <c r="D15" s="159"/>
      <c r="E15" s="159"/>
      <c r="F15" s="160"/>
      <c r="G15" s="164">
        <f t="shared" si="0"/>
        <v>5.4054054054054035</v>
      </c>
      <c r="H15" s="165"/>
      <c r="I15" s="166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58" t="s">
        <v>80</v>
      </c>
      <c r="C18" s="159"/>
      <c r="D18" s="159"/>
      <c r="E18" s="159"/>
      <c r="F18" s="160"/>
      <c r="G18" s="173">
        <f>K44</f>
        <v>6.6898385089495438</v>
      </c>
      <c r="H18" s="174"/>
      <c r="I18" s="175"/>
      <c r="K18" s="5"/>
      <c r="L18" s="5"/>
    </row>
    <row r="19" spans="2:12" ht="16.5" customHeight="1" x14ac:dyDescent="0.25">
      <c r="B19" s="158" t="s">
        <v>81</v>
      </c>
      <c r="C19" s="159"/>
      <c r="D19" s="159"/>
      <c r="E19" s="159"/>
      <c r="F19" s="160"/>
      <c r="G19" s="130">
        <f t="shared" ref="G19:G23" si="1">K45</f>
        <v>1.2834099450268117</v>
      </c>
      <c r="H19" s="131"/>
      <c r="I19" s="132"/>
      <c r="K19" s="5"/>
      <c r="L19" s="5"/>
    </row>
    <row r="20" spans="2:12" ht="16.5" customHeight="1" x14ac:dyDescent="0.25">
      <c r="B20" s="158" t="s">
        <v>82</v>
      </c>
      <c r="C20" s="159"/>
      <c r="D20" s="159"/>
      <c r="E20" s="159"/>
      <c r="F20" s="160"/>
      <c r="G20" s="130">
        <f t="shared" si="1"/>
        <v>0.16876401324184945</v>
      </c>
      <c r="H20" s="131"/>
      <c r="I20" s="132"/>
      <c r="J20" s="2"/>
      <c r="K20" s="5"/>
      <c r="L20" s="5"/>
    </row>
    <row r="21" spans="2:12" ht="16.5" customHeight="1" x14ac:dyDescent="0.25">
      <c r="B21" s="158" t="s">
        <v>49</v>
      </c>
      <c r="C21" s="159"/>
      <c r="D21" s="159"/>
      <c r="E21" s="159"/>
      <c r="F21" s="160"/>
      <c r="G21" s="130">
        <f t="shared" si="1"/>
        <v>0.21659341295722612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3">
        <f t="shared" si="1"/>
        <v>13.710484968783424</v>
      </c>
      <c r="H22" s="174"/>
      <c r="I22" s="17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3">
        <f t="shared" si="1"/>
        <v>41.411084050227004</v>
      </c>
      <c r="H23" s="174"/>
      <c r="I23" s="17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99.38</v>
      </c>
      <c r="F29" s="31"/>
      <c r="G29" s="32"/>
      <c r="H29" s="31"/>
      <c r="J29" s="33" t="s">
        <v>15</v>
      </c>
      <c r="K29" s="34">
        <f>LOOKUP("LBKF",B29:E50)</f>
        <v>98.67</v>
      </c>
      <c r="L29" s="35"/>
    </row>
    <row r="30" spans="2:12" ht="16.5" customHeight="1" x14ac:dyDescent="0.25">
      <c r="B30" s="119"/>
      <c r="C30" s="120">
        <v>15.61</v>
      </c>
      <c r="D30" s="121"/>
      <c r="E30" s="30">
        <v>99.64</v>
      </c>
      <c r="F30" s="31">
        <f t="shared" ref="F30:F37" si="2">IF(E30&gt;0,IF(E30&lt;K$29,K$29-E30,0),0)</f>
        <v>0</v>
      </c>
      <c r="G30" s="32">
        <f t="shared" ref="G30:G37" si="3">IF(E30&gt;0,IF(E30&lt;=K$29,C30-C29,0),0)</f>
        <v>0</v>
      </c>
      <c r="H30" s="31">
        <f t="shared" ref="H30:H37" si="4">IF(E30&lt;=K$29,G30*(F29+F30)/2,0)</f>
        <v>0</v>
      </c>
      <c r="J30" s="37" t="s">
        <v>71</v>
      </c>
      <c r="K30" s="11">
        <f>SUM(H29:H50)</f>
        <v>5.2125500000000287</v>
      </c>
      <c r="L30" s="35"/>
    </row>
    <row r="31" spans="2:12" ht="16.5" customHeight="1" x14ac:dyDescent="0.25">
      <c r="B31" s="119"/>
      <c r="C31" s="120">
        <v>17.82</v>
      </c>
      <c r="D31" s="121"/>
      <c r="E31" s="30">
        <v>98.69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LOOKUP("RBKF",B29:C50)-LOOKUP("LBKF",B29:C50)</f>
        <v>7.7700000000000031</v>
      </c>
      <c r="L31" s="35"/>
    </row>
    <row r="32" spans="2:12" ht="16.5" customHeight="1" x14ac:dyDescent="0.25">
      <c r="B32" s="119" t="s">
        <v>2</v>
      </c>
      <c r="C32" s="120">
        <v>17.899999999999999</v>
      </c>
      <c r="D32" s="121"/>
      <c r="E32" s="30">
        <v>98.67</v>
      </c>
      <c r="F32" s="31">
        <f t="shared" si="2"/>
        <v>0</v>
      </c>
      <c r="G32" s="32">
        <f t="shared" si="3"/>
        <v>7.9999999999998295E-2</v>
      </c>
      <c r="H32" s="31">
        <f t="shared" si="4"/>
        <v>0</v>
      </c>
      <c r="J32" s="37" t="s">
        <v>73</v>
      </c>
      <c r="K32" s="11">
        <f>K30/K31</f>
        <v>0.67085585585585927</v>
      </c>
      <c r="L32" s="35"/>
    </row>
    <row r="33" spans="2:13" ht="16.5" customHeight="1" x14ac:dyDescent="0.25">
      <c r="B33" s="119"/>
      <c r="C33" s="120">
        <v>19.850000000000001</v>
      </c>
      <c r="D33" s="121"/>
      <c r="E33" s="30">
        <v>98.02</v>
      </c>
      <c r="F33" s="31">
        <f t="shared" si="2"/>
        <v>0.65000000000000568</v>
      </c>
      <c r="G33" s="32">
        <f t="shared" si="3"/>
        <v>1.9500000000000028</v>
      </c>
      <c r="H33" s="31">
        <f t="shared" si="4"/>
        <v>0.63375000000000647</v>
      </c>
      <c r="J33" s="37" t="s">
        <v>74</v>
      </c>
      <c r="K33" s="38">
        <f>K31/K32</f>
        <v>11.582219834821673</v>
      </c>
      <c r="L33" s="35"/>
    </row>
    <row r="34" spans="2:13" ht="16.5" customHeight="1" x14ac:dyDescent="0.25">
      <c r="B34" s="119"/>
      <c r="C34" s="120">
        <v>21.75</v>
      </c>
      <c r="D34" s="121"/>
      <c r="E34" s="30">
        <v>97.53</v>
      </c>
      <c r="F34" s="31">
        <f t="shared" si="2"/>
        <v>1.1400000000000006</v>
      </c>
      <c r="G34" s="32">
        <f t="shared" si="3"/>
        <v>1.8999999999999986</v>
      </c>
      <c r="H34" s="31">
        <f t="shared" si="4"/>
        <v>1.7005000000000046</v>
      </c>
      <c r="J34" s="37" t="s">
        <v>75</v>
      </c>
      <c r="K34" s="11">
        <f>MAX(F29:F50)</f>
        <v>1.1400000000000006</v>
      </c>
      <c r="L34" s="35"/>
    </row>
    <row r="35" spans="2:13" ht="16.5" customHeight="1" x14ac:dyDescent="0.25">
      <c r="B35" s="119"/>
      <c r="C35" s="120">
        <v>23.980000000000004</v>
      </c>
      <c r="D35" s="121"/>
      <c r="E35" s="30">
        <v>97.85</v>
      </c>
      <c r="F35" s="31">
        <f t="shared" si="2"/>
        <v>0.82000000000000739</v>
      </c>
      <c r="G35" s="32">
        <f t="shared" si="3"/>
        <v>2.230000000000004</v>
      </c>
      <c r="H35" s="31">
        <f t="shared" si="4"/>
        <v>2.1854000000000129</v>
      </c>
      <c r="J35" s="37" t="s">
        <v>76</v>
      </c>
      <c r="K35" s="39">
        <f>K34/K32</f>
        <v>1.6993218290471956</v>
      </c>
      <c r="L35" s="35"/>
    </row>
    <row r="36" spans="2:13" ht="16.5" customHeight="1" x14ac:dyDescent="0.25">
      <c r="B36" s="119" t="s">
        <v>3</v>
      </c>
      <c r="C36" s="120">
        <v>25.67</v>
      </c>
      <c r="D36" s="121"/>
      <c r="E36" s="30">
        <v>98.67</v>
      </c>
      <c r="F36" s="31">
        <f t="shared" si="2"/>
        <v>0</v>
      </c>
      <c r="G36" s="32">
        <f t="shared" si="3"/>
        <v>1.6899999999999977</v>
      </c>
      <c r="H36" s="31">
        <f t="shared" si="4"/>
        <v>0.69290000000000529</v>
      </c>
      <c r="J36" s="40" t="s">
        <v>25</v>
      </c>
      <c r="K36" s="41">
        <v>1.1399999999999999</v>
      </c>
      <c r="L36" s="35"/>
    </row>
    <row r="37" spans="2:13" ht="16.5" customHeight="1" x14ac:dyDescent="0.25">
      <c r="B37" s="119"/>
      <c r="C37" s="120">
        <v>34.090000000000003</v>
      </c>
      <c r="D37" s="121"/>
      <c r="E37" s="30">
        <v>99.43</v>
      </c>
      <c r="F37" s="31">
        <f t="shared" si="2"/>
        <v>0</v>
      </c>
      <c r="G37" s="32">
        <f t="shared" si="3"/>
        <v>0</v>
      </c>
      <c r="H37" s="31">
        <f t="shared" si="4"/>
        <v>0</v>
      </c>
      <c r="J37" s="40" t="s">
        <v>77</v>
      </c>
      <c r="K37" s="42">
        <f>+K36/K34</f>
        <v>0.99999999999999944</v>
      </c>
      <c r="L37" s="35"/>
    </row>
    <row r="38" spans="2:13" ht="16.5" customHeight="1" x14ac:dyDescent="0.25">
      <c r="B38" s="119"/>
      <c r="C38" s="120">
        <v>44.1</v>
      </c>
      <c r="D38" s="121"/>
      <c r="E38" s="30">
        <v>100.43</v>
      </c>
      <c r="F38" s="31">
        <f t="shared" ref="F38" si="5">IF(E38&gt;0,IF(E38&lt;K$29,K$29-E38,0),0)</f>
        <v>0</v>
      </c>
      <c r="G38" s="32">
        <f t="shared" ref="G38" si="6">IF(E38&gt;0,IF(E38&lt;=K$29,C38-C37,0),0)</f>
        <v>0</v>
      </c>
      <c r="H38" s="31">
        <f t="shared" ref="H38" si="7">IF(E38&lt;=K$29,G38*(F37+F38)/2,0)</f>
        <v>0</v>
      </c>
      <c r="J38" s="43" t="s">
        <v>78</v>
      </c>
      <c r="K38" s="44">
        <v>42</v>
      </c>
      <c r="L38" s="35"/>
    </row>
    <row r="39" spans="2:13" ht="16.5" customHeight="1" x14ac:dyDescent="0.25">
      <c r="B39" s="119"/>
      <c r="C39" s="120"/>
      <c r="D39" s="121"/>
      <c r="E39" s="30"/>
      <c r="F39" s="31"/>
      <c r="G39" s="32"/>
      <c r="H39" s="31"/>
      <c r="J39" s="37" t="s">
        <v>79</v>
      </c>
      <c r="K39" s="11">
        <f>K38/K31</f>
        <v>5.4054054054054035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4.7276464542651596E-3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5.5E-2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9.1117117117117221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0.57207143563377749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6.6898385089495438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1.2834099450268117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0.16876401324184945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0.21659341295722612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13.710484968783424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41.411084050227004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4" sqref="E4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81.764705882352942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97.3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0.46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4.7276464542651596E-3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5.6258992805755395E-3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1.19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>
        <v>0</v>
      </c>
      <c r="D15" s="36"/>
      <c r="E15" s="30">
        <v>97.76</v>
      </c>
      <c r="F15" s="36"/>
      <c r="G15" s="30">
        <v>98.12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>
        <v>6.63</v>
      </c>
      <c r="D16" s="36"/>
      <c r="E16" s="30">
        <v>97.3</v>
      </c>
      <c r="F16" s="36"/>
      <c r="G16" s="30"/>
      <c r="H16" s="36"/>
      <c r="I16" s="30"/>
      <c r="J16" s="36"/>
      <c r="K16" s="30"/>
      <c r="L16" s="11">
        <f t="shared" ref="L16:L29" si="0">C16-C15</f>
        <v>6.63</v>
      </c>
      <c r="M16" s="30">
        <f t="shared" ref="M16:M29" si="1">-(G16-G15)</f>
        <v>98.12</v>
      </c>
      <c r="N16" s="87">
        <f>M16/L16</f>
        <v>14.799396681749624</v>
      </c>
      <c r="O16" s="88"/>
      <c r="P16" s="88"/>
    </row>
    <row r="17" spans="2:16" ht="16.5" customHeight="1" x14ac:dyDescent="0.3">
      <c r="B17" s="56"/>
      <c r="C17" s="29">
        <v>10.27</v>
      </c>
      <c r="D17" s="36"/>
      <c r="E17" s="30">
        <v>97.31</v>
      </c>
      <c r="F17" s="36"/>
      <c r="G17" s="30">
        <v>97.95</v>
      </c>
      <c r="H17" s="36"/>
      <c r="I17" s="30"/>
      <c r="J17" s="36"/>
      <c r="K17" s="30"/>
      <c r="L17" s="11">
        <f t="shared" si="0"/>
        <v>3.6399999999999997</v>
      </c>
      <c r="M17" s="30">
        <f t="shared" si="1"/>
        <v>-97.95</v>
      </c>
      <c r="N17" s="87">
        <f t="shared" ref="N17:N27" si="2">M17/L17</f>
        <v>-26.909340659340664</v>
      </c>
      <c r="O17" s="88"/>
      <c r="P17" s="88"/>
    </row>
    <row r="18" spans="2:16" ht="16.5" customHeight="1" x14ac:dyDescent="0.3">
      <c r="B18" s="56"/>
      <c r="C18" s="29">
        <v>15.01</v>
      </c>
      <c r="D18" s="36"/>
      <c r="E18" s="30">
        <v>97.32</v>
      </c>
      <c r="F18" s="36"/>
      <c r="G18" s="30"/>
      <c r="H18" s="36"/>
      <c r="I18" s="30"/>
      <c r="J18" s="36"/>
      <c r="K18" s="30"/>
      <c r="L18" s="11">
        <f t="shared" si="0"/>
        <v>4.74</v>
      </c>
      <c r="M18" s="30">
        <f t="shared" si="1"/>
        <v>97.95</v>
      </c>
      <c r="N18" s="87">
        <f t="shared" si="2"/>
        <v>20.664556962025316</v>
      </c>
      <c r="O18" s="88"/>
      <c r="P18" s="88"/>
    </row>
    <row r="19" spans="2:16" ht="16.5" customHeight="1" x14ac:dyDescent="0.3">
      <c r="B19" s="56"/>
      <c r="C19" s="29">
        <v>21.78</v>
      </c>
      <c r="D19" s="36"/>
      <c r="E19" s="30">
        <v>97.56</v>
      </c>
      <c r="F19" s="36"/>
      <c r="G19" s="30">
        <v>97.96</v>
      </c>
      <c r="H19" s="36"/>
      <c r="I19" s="30"/>
      <c r="J19" s="36"/>
      <c r="K19" s="30"/>
      <c r="L19" s="11">
        <f t="shared" si="0"/>
        <v>6.7700000000000014</v>
      </c>
      <c r="M19" s="30">
        <f t="shared" si="1"/>
        <v>-97.96</v>
      </c>
      <c r="N19" s="87">
        <f t="shared" si="2"/>
        <v>-14.469719350073852</v>
      </c>
      <c r="O19" s="88"/>
      <c r="P19" s="88"/>
    </row>
    <row r="20" spans="2:16" ht="16.5" customHeight="1" x14ac:dyDescent="0.3">
      <c r="B20" s="56"/>
      <c r="C20" s="29">
        <v>26.4</v>
      </c>
      <c r="D20" s="36"/>
      <c r="E20" s="30">
        <v>97.53</v>
      </c>
      <c r="F20" s="36"/>
      <c r="G20" s="30"/>
      <c r="H20" s="36"/>
      <c r="I20" s="30"/>
      <c r="J20" s="36"/>
      <c r="K20" s="30"/>
      <c r="L20" s="11">
        <f t="shared" si="0"/>
        <v>4.6199999999999974</v>
      </c>
      <c r="M20" s="30">
        <f t="shared" si="1"/>
        <v>97.96</v>
      </c>
      <c r="N20" s="87">
        <f t="shared" si="2"/>
        <v>21.203463203463215</v>
      </c>
      <c r="O20" s="88"/>
      <c r="P20" s="88"/>
    </row>
    <row r="21" spans="2:16" ht="16.5" customHeight="1" x14ac:dyDescent="0.3">
      <c r="B21" s="56"/>
      <c r="C21" s="29">
        <v>30.29</v>
      </c>
      <c r="D21" s="36"/>
      <c r="E21" s="30">
        <v>97.19</v>
      </c>
      <c r="F21" s="36"/>
      <c r="G21" s="30">
        <v>97.97</v>
      </c>
      <c r="H21" s="36"/>
      <c r="I21" s="30"/>
      <c r="J21" s="36"/>
      <c r="K21" s="30"/>
      <c r="L21" s="11">
        <f t="shared" si="0"/>
        <v>3.8900000000000006</v>
      </c>
      <c r="M21" s="30">
        <f t="shared" si="1"/>
        <v>-97.97</v>
      </c>
      <c r="N21" s="87">
        <f t="shared" si="2"/>
        <v>-25.185089974293057</v>
      </c>
      <c r="O21" s="88"/>
      <c r="P21" s="88"/>
    </row>
    <row r="22" spans="2:16" ht="16.5" customHeight="1" x14ac:dyDescent="0.3">
      <c r="B22" s="56"/>
      <c r="C22" s="29">
        <v>33.64</v>
      </c>
      <c r="D22" s="36"/>
      <c r="E22" s="30">
        <v>96.98</v>
      </c>
      <c r="F22" s="36"/>
      <c r="G22" s="30">
        <v>97.94</v>
      </c>
      <c r="H22" s="36"/>
      <c r="I22" s="30"/>
      <c r="J22" s="36"/>
      <c r="K22" s="30"/>
      <c r="L22" s="11">
        <f t="shared" si="0"/>
        <v>3.3500000000000014</v>
      </c>
      <c r="M22" s="30">
        <f t="shared" si="1"/>
        <v>3.0000000000001137E-2</v>
      </c>
      <c r="N22" s="87">
        <f t="shared" si="2"/>
        <v>8.9552238805973503E-3</v>
      </c>
      <c r="O22" s="88"/>
      <c r="P22" s="88"/>
    </row>
    <row r="23" spans="2:16" ht="16.5" customHeight="1" x14ac:dyDescent="0.3">
      <c r="B23" s="56"/>
      <c r="C23" s="29">
        <v>38.92</v>
      </c>
      <c r="D23" s="36"/>
      <c r="E23" s="30">
        <v>97.07</v>
      </c>
      <c r="F23" s="36"/>
      <c r="G23" s="30">
        <v>97.9</v>
      </c>
      <c r="H23" s="36"/>
      <c r="I23" s="30"/>
      <c r="J23" s="36"/>
      <c r="K23" s="30"/>
      <c r="L23" s="11">
        <f>C23-C22</f>
        <v>5.2800000000000011</v>
      </c>
      <c r="M23" s="30">
        <f t="shared" si="1"/>
        <v>3.9999999999992042E-2</v>
      </c>
      <c r="N23" s="87">
        <f t="shared" si="2"/>
        <v>7.5757575757560668E-3</v>
      </c>
      <c r="O23" s="88"/>
      <c r="P23" s="88"/>
    </row>
    <row r="24" spans="2:16" ht="16.5" customHeight="1" x14ac:dyDescent="0.3">
      <c r="B24" s="56"/>
      <c r="C24" s="29">
        <v>43.62</v>
      </c>
      <c r="D24" s="36"/>
      <c r="E24" s="30">
        <v>97.12</v>
      </c>
      <c r="F24" s="36"/>
      <c r="G24" s="30">
        <v>97.92</v>
      </c>
      <c r="H24" s="36"/>
      <c r="I24" s="30"/>
      <c r="J24" s="36"/>
      <c r="K24" s="30"/>
      <c r="L24" s="11">
        <f t="shared" si="0"/>
        <v>4.6999999999999957</v>
      </c>
      <c r="M24" s="30">
        <f t="shared" si="1"/>
        <v>-1.9999999999996021E-2</v>
      </c>
      <c r="N24" s="87">
        <f t="shared" si="2"/>
        <v>-4.2553191489353272E-3</v>
      </c>
      <c r="O24" s="88"/>
      <c r="P24" s="88"/>
    </row>
    <row r="25" spans="2:16" ht="16.5" customHeight="1" x14ac:dyDescent="0.3">
      <c r="B25" s="56"/>
      <c r="C25" s="29">
        <v>49.26</v>
      </c>
      <c r="D25" s="36"/>
      <c r="E25" s="30">
        <v>97.07</v>
      </c>
      <c r="F25" s="36"/>
      <c r="G25" s="30">
        <v>97.9</v>
      </c>
      <c r="H25" s="36"/>
      <c r="I25" s="30"/>
      <c r="J25" s="36"/>
      <c r="K25" s="30"/>
      <c r="L25" s="11">
        <f t="shared" si="0"/>
        <v>5.6400000000000006</v>
      </c>
      <c r="M25" s="30">
        <f t="shared" si="1"/>
        <v>1.9999999999996021E-2</v>
      </c>
      <c r="N25" s="87">
        <f t="shared" si="2"/>
        <v>3.5460992907794362E-3</v>
      </c>
      <c r="O25" s="88"/>
      <c r="P25" s="88"/>
    </row>
    <row r="26" spans="2:16" ht="16.5" customHeight="1" x14ac:dyDescent="0.3">
      <c r="B26" s="56"/>
      <c r="C26" s="29">
        <v>57</v>
      </c>
      <c r="D26" s="36"/>
      <c r="E26" s="30">
        <v>97.12</v>
      </c>
      <c r="F26" s="36"/>
      <c r="G26" s="30"/>
      <c r="H26" s="36"/>
      <c r="I26" s="30"/>
      <c r="J26" s="36"/>
      <c r="K26" s="30"/>
      <c r="L26" s="11">
        <f t="shared" si="0"/>
        <v>7.740000000000002</v>
      </c>
      <c r="M26" s="30">
        <f t="shared" si="1"/>
        <v>97.9</v>
      </c>
      <c r="N26" s="87">
        <f t="shared" si="2"/>
        <v>12.648578811369507</v>
      </c>
      <c r="O26" s="88"/>
      <c r="P26" s="88"/>
    </row>
    <row r="27" spans="2:16" ht="16.5" customHeight="1" x14ac:dyDescent="0.3">
      <c r="B27" s="56"/>
      <c r="C27" s="29">
        <v>61.67</v>
      </c>
      <c r="D27" s="36"/>
      <c r="E27" s="30">
        <v>97.02</v>
      </c>
      <c r="F27" s="36"/>
      <c r="G27" s="30">
        <v>97.9</v>
      </c>
      <c r="H27" s="36"/>
      <c r="I27" s="30"/>
      <c r="J27" s="36"/>
      <c r="K27" s="30"/>
      <c r="L27" s="11">
        <f t="shared" si="0"/>
        <v>4.6700000000000017</v>
      </c>
      <c r="M27" s="30">
        <f t="shared" si="1"/>
        <v>-97.9</v>
      </c>
      <c r="N27" s="87">
        <f t="shared" si="2"/>
        <v>-20.963597430406846</v>
      </c>
      <c r="O27" s="88"/>
      <c r="P27" s="88"/>
    </row>
    <row r="28" spans="2:16" ht="16.5" customHeight="1" x14ac:dyDescent="0.3">
      <c r="B28" s="56"/>
      <c r="C28" s="29">
        <v>68.09</v>
      </c>
      <c r="D28" s="36"/>
      <c r="E28" s="30">
        <v>97.05</v>
      </c>
      <c r="F28" s="36"/>
      <c r="G28" s="30">
        <v>97.92</v>
      </c>
      <c r="H28" s="36"/>
      <c r="I28" s="30"/>
      <c r="J28" s="36"/>
      <c r="K28" s="30"/>
      <c r="L28" s="11">
        <f t="shared" si="0"/>
        <v>6.4200000000000017</v>
      </c>
      <c r="M28" s="30">
        <f t="shared" si="1"/>
        <v>-1.9999999999996021E-2</v>
      </c>
      <c r="N28" s="87">
        <f t="shared" ref="N28:N29" si="3">M28/L28</f>
        <v>-3.1152647975071675E-3</v>
      </c>
      <c r="O28" s="88"/>
      <c r="P28" s="88"/>
    </row>
    <row r="29" spans="2:16" ht="16.5" customHeight="1" x14ac:dyDescent="0.3">
      <c r="B29" s="56"/>
      <c r="C29" s="29">
        <v>73.260000000000005</v>
      </c>
      <c r="D29" s="36"/>
      <c r="E29" s="30">
        <v>97.19</v>
      </c>
      <c r="F29" s="36"/>
      <c r="G29" s="30">
        <v>97.92</v>
      </c>
      <c r="H29" s="36"/>
      <c r="I29" s="30"/>
      <c r="J29" s="36"/>
      <c r="K29" s="30"/>
      <c r="L29" s="11">
        <f t="shared" si="0"/>
        <v>5.1700000000000017</v>
      </c>
      <c r="M29" s="30">
        <f t="shared" si="1"/>
        <v>0</v>
      </c>
      <c r="N29" s="87">
        <f t="shared" si="3"/>
        <v>0</v>
      </c>
      <c r="O29" s="88"/>
      <c r="P29" s="88"/>
    </row>
    <row r="30" spans="2:16" ht="16.5" customHeight="1" x14ac:dyDescent="0.3">
      <c r="B30" s="56"/>
      <c r="C30" s="29">
        <v>78.22</v>
      </c>
      <c r="D30" s="36"/>
      <c r="E30" s="30">
        <v>97.36</v>
      </c>
      <c r="F30" s="36"/>
      <c r="G30" s="30"/>
      <c r="H30" s="36"/>
      <c r="I30" s="30"/>
      <c r="J30" s="36"/>
      <c r="K30" s="30"/>
      <c r="L30" s="11">
        <f t="shared" ref="L30" si="4">C30-C29</f>
        <v>4.9599999999999937</v>
      </c>
      <c r="M30" s="30">
        <f t="shared" ref="M30" si="5">-(G30-G29)</f>
        <v>97.92</v>
      </c>
      <c r="N30" s="87">
        <f t="shared" ref="N30" si="6">M30/L30</f>
        <v>19.741935483870993</v>
      </c>
      <c r="O30" s="88"/>
      <c r="P30" s="88"/>
    </row>
    <row r="31" spans="2:16" ht="16.5" customHeight="1" x14ac:dyDescent="0.3">
      <c r="B31" s="56"/>
      <c r="C31" s="29">
        <v>81.010000000000005</v>
      </c>
      <c r="D31" s="36"/>
      <c r="E31" s="30">
        <v>97.16</v>
      </c>
      <c r="F31" s="36"/>
      <c r="G31" s="30">
        <v>97.84</v>
      </c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>
        <v>83.31</v>
      </c>
      <c r="D32" s="36"/>
      <c r="E32" s="30">
        <v>96.8</v>
      </c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>
        <v>86.96</v>
      </c>
      <c r="D33" s="36"/>
      <c r="E33" s="30">
        <v>97.03</v>
      </c>
      <c r="F33" s="36"/>
      <c r="G33" s="30">
        <v>97.86</v>
      </c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>
        <v>94.06</v>
      </c>
      <c r="D34" s="36"/>
      <c r="E34" s="30">
        <v>96.98</v>
      </c>
      <c r="F34" s="36"/>
      <c r="G34" s="30">
        <v>97.64</v>
      </c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>
        <v>97.32</v>
      </c>
      <c r="D35" s="36"/>
      <c r="E35" s="30">
        <v>96.79</v>
      </c>
      <c r="F35" s="36"/>
      <c r="G35" s="30">
        <v>97.66</v>
      </c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I7" sqref="I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32</v>
      </c>
      <c r="D7" s="102">
        <v>24</v>
      </c>
      <c r="E7" s="102">
        <v>50</v>
      </c>
      <c r="F7" s="102">
        <v>42</v>
      </c>
      <c r="G7" s="102"/>
      <c r="H7" s="13">
        <f>MIN(C7:G7)</f>
        <v>24</v>
      </c>
      <c r="I7" s="13">
        <f>MEDIAN(C7:G7)</f>
        <v>37</v>
      </c>
      <c r="J7" s="13">
        <f>MAX(C7:G7)</f>
        <v>50</v>
      </c>
    </row>
    <row r="8" spans="2:10" ht="16.5" customHeight="1" x14ac:dyDescent="0.25">
      <c r="B8" s="40" t="s">
        <v>26</v>
      </c>
      <c r="C8" s="102">
        <v>21</v>
      </c>
      <c r="D8" s="102">
        <v>36</v>
      </c>
      <c r="E8" s="102">
        <v>25</v>
      </c>
      <c r="F8" s="102">
        <v>14</v>
      </c>
      <c r="G8" s="102">
        <v>13</v>
      </c>
      <c r="H8" s="13">
        <f>MIN(C8:G8)</f>
        <v>13</v>
      </c>
      <c r="I8" s="13">
        <f>MEDIAN(C8:G8)</f>
        <v>21</v>
      </c>
      <c r="J8" s="13">
        <f>MAX(C8:G8)</f>
        <v>36</v>
      </c>
    </row>
    <row r="9" spans="2:10" ht="16.5" customHeight="1" x14ac:dyDescent="0.25">
      <c r="B9" s="40" t="s">
        <v>88</v>
      </c>
      <c r="C9" s="102">
        <v>18</v>
      </c>
      <c r="D9" s="102">
        <v>13</v>
      </c>
      <c r="E9" s="102">
        <v>17</v>
      </c>
      <c r="F9" s="102">
        <v>11</v>
      </c>
      <c r="G9" s="102"/>
      <c r="H9" s="13">
        <f>MIN(C9:G9)</f>
        <v>11</v>
      </c>
      <c r="I9" s="13">
        <f>MEDIAN(C9:G9)</f>
        <v>15</v>
      </c>
      <c r="J9" s="13">
        <f>MAX(C9:G9)</f>
        <v>18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