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/>
  <c r="F33" i="81"/>
  <c r="G33" i="81"/>
  <c r="H33" i="81" s="1"/>
  <c r="F34" i="81"/>
  <c r="G34" i="81"/>
  <c r="H34" i="81" s="1"/>
  <c r="F35" i="81"/>
  <c r="G35" i="81"/>
  <c r="H35" i="81"/>
  <c r="F36" i="81"/>
  <c r="G36" i="81"/>
  <c r="H36" i="81"/>
  <c r="F37" i="81"/>
  <c r="G37" i="81"/>
  <c r="H37" i="81" s="1"/>
  <c r="F38" i="81"/>
  <c r="G38" i="81"/>
  <c r="H38" i="81" s="1"/>
  <c r="F39" i="81"/>
  <c r="G39" i="81"/>
  <c r="H39" i="81"/>
  <c r="K29" i="81" l="1"/>
  <c r="K31" i="81"/>
  <c r="G7" i="81" s="1"/>
  <c r="C15" i="73" s="1"/>
  <c r="K40" i="81"/>
  <c r="G12" i="81"/>
  <c r="C20" i="73" s="1"/>
  <c r="G14" i="81"/>
  <c r="C22" i="73" s="1"/>
  <c r="G15" i="81"/>
  <c r="C23" i="73" s="1"/>
  <c r="L30" i="70"/>
  <c r="L23" i="70"/>
  <c r="M30" i="70"/>
  <c r="N30" i="70"/>
  <c r="U8" i="70"/>
  <c r="D41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 s="1"/>
  <c r="D23" i="73"/>
  <c r="E23" i="73"/>
  <c r="D34" i="73"/>
  <c r="E38" i="73"/>
  <c r="D38" i="73"/>
  <c r="C38" i="73"/>
  <c r="D4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D48" i="73" l="1"/>
  <c r="C48" i="73"/>
  <c r="E44" i="73"/>
  <c r="D42" i="73"/>
  <c r="C34" i="73"/>
  <c r="C42" i="73"/>
  <c r="D36" i="73"/>
  <c r="C44" i="73"/>
  <c r="E42" i="73"/>
  <c r="E34" i="73"/>
  <c r="E46" i="73"/>
  <c r="E36" i="73"/>
  <c r="C46" i="73"/>
  <c r="G40" i="81"/>
  <c r="F29" i="81"/>
  <c r="F40" i="81"/>
  <c r="H40" i="81" s="1"/>
  <c r="K34" i="81" l="1"/>
  <c r="K37" i="81" s="1"/>
  <c r="G13" i="81" s="1"/>
  <c r="C21" i="73" s="1"/>
  <c r="K30" i="81" l="1"/>
  <c r="G6" i="81" s="1"/>
  <c r="C14" i="73" s="1"/>
  <c r="G10" i="81"/>
  <c r="C18" i="73" s="1"/>
  <c r="K32" i="81" l="1"/>
  <c r="K33" i="81" s="1"/>
  <c r="G9" i="81" s="1"/>
  <c r="C17" i="73" s="1"/>
  <c r="K35" i="81" l="1"/>
  <c r="G11" i="81" s="1"/>
  <c r="C19" i="73" s="1"/>
  <c r="G8" i="81"/>
  <c r="C16" i="73" s="1"/>
  <c r="K42" i="81"/>
  <c r="K43" i="81" s="1"/>
  <c r="K44" i="81" s="1"/>
  <c r="K46" i="81"/>
  <c r="G18" i="81" l="1"/>
  <c r="C25" i="73" s="1"/>
  <c r="K45" i="81"/>
  <c r="G19" i="81" s="1"/>
  <c r="C26" i="73" s="1"/>
  <c r="K48" i="81"/>
  <c r="G22" i="81" s="1"/>
  <c r="C29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<sst xmlns="http://schemas.openxmlformats.org/spreadsheetml/2006/main" count="172" uniqueCount="111">
  <si>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</si>
  <si>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</si>
  <si>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</si>
  <si>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</si>
  <si>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</si>
  <si>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</si>
  <si>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</si>
  <si>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</si>
  <si>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</si>
  <si>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</si>
  <si>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</si>
  <si>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</si>
  <si>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</si>
  <si>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</si>
  <si>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</si>
  <si>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</si>
  <si>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</si>
  <si>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</si>
  <si>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</si>
  <si>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</si>
  <si>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</si>
  <si>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</si>
  <si>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</si>
  <si>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</si>
  <si>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</si>
  <si>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</si>
  <si>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</si>
  <si>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</si>
  <si>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</si>
  <si>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</si>
  <si>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</si>
  <si>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</si>
  <si>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</si>
  <si>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</si>
  <si>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</si>
  <si>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</si>
  <si>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</si>
  <si>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</si>
  <si>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</si>
  <si>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</si>
  <si>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</si>
  <si>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</si>
  <si>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</si>
  <si>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</si>
  <si>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</si>
  <si>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</si>
  <si>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</si>
  <si>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</si>
  <si>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</si>
  <si>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</si>
  <si>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</si>
  <si>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</si>
  <si>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</si>
  <si>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</si>
  <si>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</si>
  <si>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</si>
  <si>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</si>
  <si>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</si>
  <si>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</si>
  <si>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</si>
  <si>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</si>
  <si>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</si>
  <si>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</si>
  <si>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</si>
  <si>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</si>
  <si>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</si>
  <si>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</si>
  <si>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</si>
  <si>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</si>
  <si>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</si>
  <si>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</si>
  <si>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</si>
  <si>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</si>
  <si>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</si>
  <si>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</si>
  <si>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</si>
  <si>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</si>
  <si>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</si>
  <si>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</si>
  <si>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</si>
  <si>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</si>
  <si>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</si>
  <si>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</si>
  <si>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</si>
  <si>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</si>
  <si>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</si>
  <si>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</si>
  <si>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</si>
  <si>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</si>
  <si>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</si>
  <si>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</si>
  <si>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</si>
  <si>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</si>
  <si>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</si>
  <si>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</si>
  <si>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</si>
  <si>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</si>
  <si>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</si>
  <si>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</si>
  <si>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</si>
  <si>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</si>
  <si>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</si>
  <si>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</si>
  <si>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</si>
  <si>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Mill Creek, Manchester State Forest</t>
  </si>
  <si>
    <t>33.742333, -80.513768</t>
  </si>
  <si>
    <t>Mill Creek</t>
  </si>
  <si>
    <t>sand</t>
  </si>
  <si>
    <t>&gt;111</t>
  </si>
  <si>
    <t>&gt;10.0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</si>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</sst>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11.51</c:v>
                </c:pt>
                <c:pt idx="2">
                  <c:v>13.51</c:v>
                </c:pt>
                <c:pt idx="3">
                  <c:v>14.38</c:v>
                </c:pt>
                <c:pt idx="4">
                  <c:v>14.5</c:v>
                </c:pt>
                <c:pt idx="5">
                  <c:v>16.07</c:v>
                </c:pt>
                <c:pt idx="6">
                  <c:v>19.04</c:v>
                </c:pt>
                <c:pt idx="7">
                  <c:v>23.28</c:v>
                </c:pt>
                <c:pt idx="8">
                  <c:v>24.38</c:v>
                </c:pt>
                <c:pt idx="9">
                  <c:v>25.48</c:v>
                </c:pt>
                <c:pt idx="10">
                  <c:v>30.64</c:v>
                </c:pt>
                <c:pt idx="11">
                  <c:v>38.15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99.53</c:v>
                </c:pt>
                <c:pt idx="1">
                  <c:v>99.98</c:v>
                </c:pt>
                <c:pt idx="2">
                  <c:v>99.62</c:v>
                </c:pt>
                <c:pt idx="3">
                  <c:v>99.47</c:v>
                </c:pt>
                <c:pt idx="4">
                  <c:v>99.43</c:v>
                </c:pt>
                <c:pt idx="5">
                  <c:v>98.77</c:v>
                </c:pt>
                <c:pt idx="6">
                  <c:v>98.72</c:v>
                </c:pt>
                <c:pt idx="7">
                  <c:v>98.64</c:v>
                </c:pt>
                <c:pt idx="8">
                  <c:v>98.74</c:v>
                </c:pt>
                <c:pt idx="9">
                  <c:v>99.43</c:v>
                </c:pt>
                <c:pt idx="10">
                  <c:v>99.73</c:v>
                </c:pt>
                <c:pt idx="11">
                  <c:v>99.74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46800"/>
        <c:axId val="165897656"/>
      </c:scatterChart>
      <c:valAx>
        <c:axId val="1639468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5897656"/>
        <c:crosses val="autoZero"/>
        <c:crossBetween val="midCat"/>
      </c:valAx>
      <c:valAx>
        <c:axId val="165897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94680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99224"/>
        <c:axId val="16589648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6589922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5896480"/>
        <c:crosses val="autoZero"/>
        <c:crossBetween val="midCat"/>
        <c:minorUnit val="25"/>
      </c:valAx>
      <c:valAx>
        <c:axId val="1658964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6589922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6" sqref="B6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0.39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4.1116005873715134E-3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1.17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68.099999999999994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6.9260500000000826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10.98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0.6307877959927215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17.406804744406781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0.79000000000000625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1.2524021628489495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0.79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0.99999999999999212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&gt;111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8.228697166962494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1.1880793766955762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0.14515894825245115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0.17246035276155755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11.792795986947532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35.618905306016835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4" sqref="H4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6.9260500000000826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10.98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0.6307877959927215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17.406804744406781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0.79000000000000625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1.2524021628489495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0.79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0.99999999999999212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&gt;111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8.228697166962494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1.1880793766955762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0.14515894825245115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0.17246035276155755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11.792795986947532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35.618905306016835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99.53</v>
      </c>
      <c r="F29" s="31">
        <f t="shared" ref="F29:F39" si="2">IF(E29&gt;0,IF(E29&lt;K$29,K$29-E29,0),0)</f>
        <v>0</v>
      </c>
      <c r="G29" s="32"/>
      <c r="H29" s="31"/>
      <c r="J29" s="33" t="s">
        <v>15</v>
      </c>
      <c r="K29" s="34">
        <f>LOOKUP("LBKF",B29:E51)</f>
        <v>99.43</v>
      </c>
      <c r="L29" s="35"/>
    </row>
    <row r="30" spans="2:12" ht="16.5" customHeight="1" x14ac:dyDescent="0.25">
      <c r="B30" s="119"/>
      <c r="C30" s="120">
        <v>11.51</v>
      </c>
      <c r="D30" s="121"/>
      <c r="E30" s="30">
        <v>99.98</v>
      </c>
      <c r="F30" s="31">
        <f t="shared" si="2"/>
        <v>0</v>
      </c>
      <c r="G30" s="32">
        <f t="shared" ref="G30:G39" si="3">IF(E30&gt;0,IF(E30&lt;=K$29,C30-C29,0),0)</f>
        <v>0</v>
      </c>
      <c r="H30" s="31">
        <f t="shared" ref="H30:H39" si="4">IF(E30&lt;=K$29,G30*(F29+F30)/2,0)</f>
        <v>0</v>
      </c>
      <c r="J30" s="37" t="s">
        <v>71</v>
      </c>
      <c r="K30" s="11">
        <f>SUM(H29:H51)</f>
        <v>6.9260500000000826</v>
      </c>
      <c r="L30" s="35"/>
    </row>
    <row r="31" spans="2:12" ht="16.5" customHeight="1" x14ac:dyDescent="0.25">
      <c r="B31" s="119"/>
      <c r="C31" s="120">
        <v>13.51</v>
      </c>
      <c r="D31" s="121"/>
      <c r="E31" s="30">
        <v>99.62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10.98</v>
      </c>
      <c r="L31" s="35"/>
    </row>
    <row r="32" spans="2:12" ht="16.5" customHeight="1" x14ac:dyDescent="0.25">
      <c r="B32" s="119"/>
      <c r="C32" s="120">
        <v>14.38</v>
      </c>
      <c r="D32" s="121"/>
      <c r="E32" s="30">
        <v>99.47</v>
      </c>
      <c r="F32" s="31">
        <f t="shared" si="2"/>
        <v>0</v>
      </c>
      <c r="G32" s="32">
        <f t="shared" si="3"/>
        <v>0</v>
      </c>
      <c r="H32" s="31">
        <f t="shared" si="4"/>
        <v>0</v>
      </c>
      <c r="J32" s="37" t="s">
        <v>73</v>
      </c>
      <c r="K32" s="11">
        <f>K30/K31</f>
        <v>0.6307877959927215</v>
      </c>
      <c r="L32" s="35"/>
    </row>
    <row r="33" spans="2:13" ht="16.5" customHeight="1" x14ac:dyDescent="0.25">
      <c r="B33" s="119" t="s">
        <v>2</v>
      </c>
      <c r="C33" s="120">
        <v>14.5</v>
      </c>
      <c r="D33" s="121"/>
      <c r="E33" s="30">
        <v>99.43</v>
      </c>
      <c r="F33" s="31">
        <f t="shared" si="2"/>
        <v>0</v>
      </c>
      <c r="G33" s="32">
        <f t="shared" si="3"/>
        <v>0.11999999999999922</v>
      </c>
      <c r="H33" s="31">
        <f t="shared" si="4"/>
        <v>0</v>
      </c>
      <c r="J33" s="37" t="s">
        <v>74</v>
      </c>
      <c r="K33" s="38">
        <f>K31/K32</f>
        <v>17.406804744406781</v>
      </c>
      <c r="L33" s="35"/>
    </row>
    <row r="34" spans="2:13" ht="16.5" customHeight="1" x14ac:dyDescent="0.25">
      <c r="B34" s="119"/>
      <c r="C34" s="120">
        <v>16.07</v>
      </c>
      <c r="D34" s="121"/>
      <c r="E34" s="30">
        <v>98.77</v>
      </c>
      <c r="F34" s="31">
        <f t="shared" si="2"/>
        <v>0.6600000000000108</v>
      </c>
      <c r="G34" s="32">
        <f t="shared" si="3"/>
        <v>1.5700000000000003</v>
      </c>
      <c r="H34" s="31">
        <f t="shared" si="4"/>
        <v>0.51810000000000855</v>
      </c>
      <c r="J34" s="37" t="s">
        <v>75</v>
      </c>
      <c r="K34" s="11">
        <f>MAX(F29:F51)</f>
        <v>0.79000000000000625</v>
      </c>
      <c r="L34" s="35"/>
    </row>
    <row r="35" spans="2:13" ht="16.5" customHeight="1" x14ac:dyDescent="0.25">
      <c r="B35" s="119"/>
      <c r="C35" s="120">
        <v>19.04</v>
      </c>
      <c r="D35" s="121"/>
      <c r="E35" s="30">
        <v>98.72</v>
      </c>
      <c r="F35" s="31">
        <f t="shared" si="2"/>
        <v>0.71000000000000796</v>
      </c>
      <c r="G35" s="32">
        <f t="shared" si="3"/>
        <v>2.9699999999999989</v>
      </c>
      <c r="H35" s="31">
        <f t="shared" si="4"/>
        <v>2.0344500000000272</v>
      </c>
      <c r="J35" s="37" t="s">
        <v>76</v>
      </c>
      <c r="K35" s="39">
        <f>K34/K32</f>
        <v>1.2524021628489495</v>
      </c>
      <c r="L35" s="35"/>
    </row>
    <row r="36" spans="2:13" ht="16.5" customHeight="1" x14ac:dyDescent="0.25">
      <c r="B36" s="119"/>
      <c r="C36" s="120">
        <v>23.28</v>
      </c>
      <c r="D36" s="121"/>
      <c r="E36" s="30">
        <v>98.64</v>
      </c>
      <c r="F36" s="31">
        <f t="shared" si="2"/>
        <v>0.79000000000000625</v>
      </c>
      <c r="G36" s="32">
        <f t="shared" si="3"/>
        <v>4.240000000000002</v>
      </c>
      <c r="H36" s="31">
        <f t="shared" si="4"/>
        <v>3.1800000000000317</v>
      </c>
      <c r="J36" s="40" t="s">
        <v>25</v>
      </c>
      <c r="K36" s="41">
        <v>0.79</v>
      </c>
      <c r="L36" s="35"/>
    </row>
    <row r="37" spans="2:13" ht="16.5" customHeight="1" x14ac:dyDescent="0.25">
      <c r="B37" s="119"/>
      <c r="C37" s="120">
        <v>24.38</v>
      </c>
      <c r="D37" s="121"/>
      <c r="E37" s="30">
        <v>98.74</v>
      </c>
      <c r="F37" s="31">
        <f t="shared" si="2"/>
        <v>0.69000000000001194</v>
      </c>
      <c r="G37" s="32">
        <f t="shared" si="3"/>
        <v>1.0999999999999979</v>
      </c>
      <c r="H37" s="31">
        <f t="shared" si="4"/>
        <v>0.81400000000000838</v>
      </c>
      <c r="J37" s="40" t="s">
        <v>77</v>
      </c>
      <c r="K37" s="42">
        <f>+K36/K34</f>
        <v>0.99999999999999212</v>
      </c>
      <c r="L37" s="35"/>
    </row>
    <row r="38" spans="2:13" ht="16.5" customHeight="1" x14ac:dyDescent="0.25">
      <c r="B38" s="119" t="s">
        <v>3</v>
      </c>
      <c r="C38" s="120">
        <v>25.48</v>
      </c>
      <c r="D38" s="121"/>
      <c r="E38" s="30">
        <v>99.43</v>
      </c>
      <c r="F38" s="31">
        <f t="shared" si="2"/>
        <v>0</v>
      </c>
      <c r="G38" s="32">
        <f t="shared" si="3"/>
        <v>1.1000000000000014</v>
      </c>
      <c r="H38" s="31">
        <f t="shared" si="4"/>
        <v>0.37950000000000705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30.64</v>
      </c>
      <c r="D39" s="121"/>
      <c r="E39" s="30">
        <v>99.73</v>
      </c>
      <c r="F39" s="31">
        <f t="shared" si="2"/>
        <v>0</v>
      </c>
      <c r="G39" s="32">
        <f t="shared" si="3"/>
        <v>0</v>
      </c>
      <c r="H39" s="31">
        <f t="shared" si="4"/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>
        <v>38.15</v>
      </c>
      <c r="D40" s="121"/>
      <c r="E40" s="30">
        <v>99.74</v>
      </c>
      <c r="F40" s="31">
        <f t="shared" ref="F40" si="5">IF(E40&gt;0,IF(E40&lt;K$29,K$29-E40,0),0)</f>
        <v>0</v>
      </c>
      <c r="G40" s="32">
        <f t="shared" ref="G40" si="6">IF(E40&gt;0,IF(E40&lt;=K$29,C40-C39,0),0)</f>
        <v>0</v>
      </c>
      <c r="H40" s="31">
        <f t="shared" ref="H40" si="7">IF(E40&lt;=K$29,G40*(F39+F40)/2,0)</f>
        <v>0</v>
      </c>
      <c r="J40" s="37" t="s">
        <v>8</v>
      </c>
      <c r="K40" s="108">
        <f>+'Longitudinal Profile'!$H$9</f>
        <v>4.1116005873715134E-3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5.5E-2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12.241575591985443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0.56578092811309078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8.228697166962494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1.1880793766955762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0.14515894825245115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0.17246035276155755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11.792795986947532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35.618905306016835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1" sqref="E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58.205128205128204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68.099999999999994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0.28000000000000003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4.1116005873715134E-3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4.8105726872246703E-3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1.17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