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1" i="81" l="1"/>
  <c r="G31" i="81"/>
  <c r="H31" i="81"/>
  <c r="F32" i="81"/>
  <c r="G32" i="81"/>
  <c r="H32" i="81" s="1"/>
  <c r="F33" i="81"/>
  <c r="G33" i="81"/>
  <c r="H33" i="81" s="1"/>
  <c r="F34" i="81"/>
  <c r="G34" i="81"/>
  <c r="H34" i="81"/>
  <c r="F35" i="81"/>
  <c r="G35" i="81"/>
  <c r="H35" i="81"/>
  <c r="F36" i="81"/>
  <c r="H36" i="81" s="1"/>
  <c r="G36" i="81"/>
  <c r="F37" i="81"/>
  <c r="G37" i="81"/>
  <c r="H37" i="81" s="1"/>
  <c r="F38" i="81"/>
  <c r="G38" i="81"/>
  <c r="H38" i="81"/>
  <c r="F39" i="81"/>
  <c r="G39" i="81"/>
  <c r="H39" i="81"/>
  <c r="F40" i="81"/>
  <c r="H40" i="81" s="1"/>
  <c r="G40" i="81"/>
  <c r="F30" i="81"/>
  <c r="G30" i="81"/>
  <c r="H30" i="81"/>
  <c r="K29" i="81" l="1"/>
  <c r="K31" i="81"/>
  <c r="K40" i="81"/>
  <c r="G12" i="81"/>
  <c r="G14" i="81"/>
  <c r="L30" i="70"/>
  <c r="L23" i="70"/>
  <c r="M30" i="70"/>
  <c r="N30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F29" i="81"/>
  <c r="G41" i="81"/>
  <c r="F41" i="81"/>
  <c r="G15" i="81"/>
  <c r="C23" i="73" s="1"/>
  <c r="G7" i="81"/>
  <c r="C15" i="73" s="1"/>
  <c r="K34" i="81" l="1"/>
  <c r="K37" i="81" s="1"/>
  <c r="G13" i="81" s="1"/>
  <c r="C21" i="73" s="1"/>
  <c r="H41" i="81"/>
  <c r="K30" i="81" l="1"/>
  <c r="K32" i="81" s="1"/>
  <c r="K42" i="81" s="1"/>
  <c r="K43" i="81" s="1"/>
  <c r="G10" i="81"/>
  <c r="C18" i="73" s="1"/>
  <c r="K35" i="81" l="1"/>
  <c r="G11" i="81" s="1"/>
  <c r="C19" i="73" s="1"/>
  <c r="K33" i="81"/>
  <c r="G9" i="81" s="1"/>
  <c r="C17" i="73" s="1"/>
  <c r="G8" i="81"/>
  <c r="C16" i="73" s="1"/>
  <c r="G6" i="81"/>
  <c r="C14" i="73" s="1"/>
  <c r="K46" i="81"/>
  <c r="K44" i="81"/>
  <c r="G18" i="81" l="1"/>
  <c r="C25" i="73" s="1"/>
  <c r="K45" i="81"/>
  <c r="G19" i="81" s="1"/>
  <c r="C26" i="73" s="1"/>
  <c r="K48" i="81"/>
  <c r="G22" i="81" s="1"/>
  <c r="C29" i="73" s="1"/>
  <c r="K49" i="81"/>
  <c r="G23" i="81" s="1"/>
  <c r="C30" i="73" s="1"/>
  <c r="G20" i="81"/>
  <c r="C27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<sst xmlns="http://schemas.openxmlformats.org/spreadsheetml/2006/main" count="172" uniqueCount="111">
  <si>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</si>
  <si>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</si>
  <si>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</si>
  <si>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</si>
  <si>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</si>
  <si>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</si>
  <si>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</si>
  <si>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</si>
  <si>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</si>
  <si>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</si>
  <si>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</si>
  <si>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</si>
  <si>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</si>
  <si>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</si>
  <si>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</si>
  <si>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</si>
  <si>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</si>
  <si>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</si>
  <si>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</si>
  <si>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</si>
  <si>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</si>
  <si>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</si>
  <si>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</si>
  <si>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</si>
  <si>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</si>
  <si>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</si>
  <si>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</si>
  <si>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</si>
  <si>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</si>
  <si>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</si>
  <si>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</si>
  <si>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</si>
  <si>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</si>
  <si>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</si>
  <si>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</si>
  <si>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</si>
  <si>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</si>
  <si>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</si>
  <si>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</si>
  <si>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</si>
  <si>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</si>
  <si>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</si>
  <si>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</si>
  <si>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</si>
  <si>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</si>
  <si>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</si>
  <si>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</si>
  <si>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</si>
  <si>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</si>
  <si>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</si>
  <si>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</si>
  <si>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</si>
  <si>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</si>
  <si>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</si>
  <si>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</si>
  <si>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</si>
  <si>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</si>
  <si>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</si>
  <si>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</si>
  <si>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</si>
  <si>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</si>
  <si>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</si>
  <si>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</si>
  <si>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</si>
  <si>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</si>
  <si>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</si>
  <si>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</si>
  <si>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</si>
  <si>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</si>
  <si>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</si>
  <si>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</si>
  <si>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</si>
  <si>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</si>
  <si>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</si>
  <si>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</si>
  <si>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</si>
  <si>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</si>
  <si>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</si>
  <si>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</si>
  <si>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</si>
  <si>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</si>
  <si>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</si>
  <si>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</si>
  <si>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</si>
  <si>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</si>
  <si>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</si>
  <si>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</si>
  <si>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</si>
  <si>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</si>
  <si>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</si>
  <si>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</si>
  <si>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</si>
  <si>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</si>
  <si>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</si>
  <si>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</si>
  <si>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</si>
  <si>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</si>
  <si>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</si>
  <si>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</si>
  <si>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</si>
  <si>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</si>
  <si>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</si>
  <si>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</si>
  <si>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</si>
  <si>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Brunson Swamp</t>
  </si>
  <si>
    <t>Brunson Swamp, Manchester State Forest</t>
  </si>
  <si>
    <t>33.864224, -80.467757</t>
  </si>
  <si>
    <t>sand</t>
  </si>
  <si>
    <t>&gt;187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</si>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</sst>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17.29</c:v>
                </c:pt>
                <c:pt idx="2">
                  <c:v>21.87</c:v>
                </c:pt>
                <c:pt idx="3">
                  <c:v>23.5</c:v>
                </c:pt>
                <c:pt idx="4">
                  <c:v>24.14</c:v>
                </c:pt>
                <c:pt idx="5">
                  <c:v>25.18</c:v>
                </c:pt>
                <c:pt idx="6">
                  <c:v>27.48</c:v>
                </c:pt>
                <c:pt idx="7">
                  <c:v>31.91</c:v>
                </c:pt>
                <c:pt idx="8">
                  <c:v>37.880000000000003</c:v>
                </c:pt>
                <c:pt idx="9">
                  <c:v>39.94</c:v>
                </c:pt>
                <c:pt idx="10">
                  <c:v>41.18</c:v>
                </c:pt>
                <c:pt idx="11">
                  <c:v>42.18</c:v>
                </c:pt>
                <c:pt idx="12">
                  <c:v>51.23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99.23</c:v>
                </c:pt>
                <c:pt idx="1">
                  <c:v>100.07</c:v>
                </c:pt>
                <c:pt idx="2">
                  <c:v>99.74</c:v>
                </c:pt>
                <c:pt idx="3">
                  <c:v>99.05</c:v>
                </c:pt>
                <c:pt idx="4">
                  <c:v>98.82</c:v>
                </c:pt>
                <c:pt idx="5">
                  <c:v>96.96</c:v>
                </c:pt>
                <c:pt idx="6">
                  <c:v>95.79</c:v>
                </c:pt>
                <c:pt idx="7">
                  <c:v>95.33</c:v>
                </c:pt>
                <c:pt idx="8">
                  <c:v>95.84</c:v>
                </c:pt>
                <c:pt idx="9">
                  <c:v>96.78</c:v>
                </c:pt>
                <c:pt idx="10">
                  <c:v>98.62</c:v>
                </c:pt>
                <c:pt idx="11">
                  <c:v>99.05</c:v>
                </c:pt>
                <c:pt idx="12">
                  <c:v>99.17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47472"/>
        <c:axId val="173049432"/>
      </c:scatterChart>
      <c:valAx>
        <c:axId val="17304747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3049432"/>
        <c:crosses val="autoZero"/>
        <c:crossBetween val="midCat"/>
      </c:valAx>
      <c:valAx>
        <c:axId val="1730494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304747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46296"/>
        <c:axId val="1730478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73046296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3047864"/>
        <c:crosses val="autoZero"/>
        <c:crossBetween val="midCat"/>
        <c:minorUnit val="25"/>
      </c:valAx>
      <c:valAx>
        <c:axId val="1730478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73046296"/>
        <c:crosses val="autoZero"/>
        <c:crossBetween val="midCat"/>
      </c:valAx>
    </c:plotArea>
    <c:legend>
      <c:legendPos val="b"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4" sqref="B4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105</v>
      </c>
      <c r="C1" s="110">
        <v>43837</v>
      </c>
      <c r="D1" s="105"/>
      <c r="E1" s="111" t="s">
        <v>106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104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20</v>
      </c>
      <c r="D8" s="133"/>
      <c r="E8" s="134"/>
    </row>
    <row r="9" spans="2:5" ht="16.95" customHeight="1" x14ac:dyDescent="0.25">
      <c r="B9" s="15" t="s">
        <v>89</v>
      </c>
      <c r="C9" s="132" t="s">
        <v>107</v>
      </c>
      <c r="D9" s="133"/>
      <c r="E9" s="134"/>
    </row>
    <row r="10" spans="2:5" ht="16.95" customHeight="1" x14ac:dyDescent="0.25">
      <c r="B10" s="15" t="s">
        <v>52</v>
      </c>
      <c r="C10" s="138">
        <f>'Longitudinal Profile'!H9</f>
        <v>6.8825910931174096E-4</v>
      </c>
      <c r="D10" s="139"/>
      <c r="E10" s="140"/>
    </row>
    <row r="11" spans="2:5" ht="16.95" customHeight="1" x14ac:dyDescent="0.25">
      <c r="B11" s="15" t="s">
        <v>53</v>
      </c>
      <c r="C11" s="144">
        <f>'Longitudinal Profile'!H11</f>
        <v>1.19</v>
      </c>
      <c r="D11" s="145"/>
      <c r="E11" s="146"/>
    </row>
    <row r="12" spans="2:5" ht="16.95" customHeight="1" thickBot="1" x14ac:dyDescent="0.3">
      <c r="B12" s="15" t="s">
        <v>23</v>
      </c>
      <c r="C12" s="141">
        <f>'Longitudinal Profile'!H7</f>
        <v>247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51.112649999999924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18.68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2.736223233404707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6.8269283631351634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3.7199999999999989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1.3595381965129978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3.72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1.0000000000000004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&gt;187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2" t="s">
        <v>54</v>
      </c>
      <c r="D24" s="153"/>
      <c r="E24" s="154"/>
    </row>
    <row r="25" spans="2:5" ht="16.95" customHeight="1" x14ac:dyDescent="0.25">
      <c r="B25" s="40" t="s">
        <v>80</v>
      </c>
      <c r="C25" s="122">
        <f>'Cross-section'!G18</f>
        <v>73.203442656761609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1.4321981477532806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9.0887430950024842E-2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0.13016881026067975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7.3837468779905207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22.301834199611001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0" t="s">
        <v>17</v>
      </c>
      <c r="C31" s="147" t="s">
        <v>57</v>
      </c>
      <c r="D31" s="148"/>
      <c r="E31" s="149"/>
    </row>
    <row r="32" spans="2:5" ht="16.95" customHeight="1" thickBot="1" x14ac:dyDescent="0.3">
      <c r="B32" s="151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0" t="s">
        <v>17</v>
      </c>
      <c r="C39" s="147" t="s">
        <v>58</v>
      </c>
      <c r="D39" s="148"/>
      <c r="E39" s="149"/>
    </row>
    <row r="40" spans="2:5" ht="16.95" customHeight="1" thickBot="1" x14ac:dyDescent="0.3">
      <c r="B40" s="151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="90" zoomScaleNormal="9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70" t="s">
        <v>71</v>
      </c>
      <c r="C6" s="171"/>
      <c r="D6" s="171"/>
      <c r="E6" s="171"/>
      <c r="F6" s="172"/>
      <c r="G6" s="158">
        <f>K30</f>
        <v>51.112649999999924</v>
      </c>
      <c r="H6" s="159"/>
      <c r="I6" s="160"/>
      <c r="K6" s="5"/>
      <c r="L6" s="5"/>
    </row>
    <row r="7" spans="2:12" ht="16.5" customHeight="1" x14ac:dyDescent="0.25">
      <c r="B7" s="170" t="s">
        <v>72</v>
      </c>
      <c r="C7" s="171"/>
      <c r="D7" s="171"/>
      <c r="E7" s="171"/>
      <c r="F7" s="172"/>
      <c r="G7" s="158">
        <f t="shared" ref="G7:G15" si="0">K31</f>
        <v>18.68</v>
      </c>
      <c r="H7" s="159"/>
      <c r="I7" s="160"/>
      <c r="J7" s="12"/>
      <c r="K7" s="5"/>
      <c r="L7" s="5"/>
    </row>
    <row r="8" spans="2:12" ht="16.5" customHeight="1" x14ac:dyDescent="0.25">
      <c r="B8" s="170" t="s">
        <v>73</v>
      </c>
      <c r="C8" s="171"/>
      <c r="D8" s="171"/>
      <c r="E8" s="171"/>
      <c r="F8" s="172"/>
      <c r="G8" s="158">
        <f t="shared" si="0"/>
        <v>2.736223233404707</v>
      </c>
      <c r="H8" s="159"/>
      <c r="I8" s="160"/>
      <c r="J8" s="12"/>
      <c r="K8" s="5"/>
      <c r="L8" s="5"/>
    </row>
    <row r="9" spans="2:12" ht="16.5" customHeight="1" x14ac:dyDescent="0.25">
      <c r="B9" s="170" t="s">
        <v>74</v>
      </c>
      <c r="C9" s="171"/>
      <c r="D9" s="171"/>
      <c r="E9" s="171"/>
      <c r="F9" s="172"/>
      <c r="G9" s="158">
        <f t="shared" si="0"/>
        <v>6.8269283631351634</v>
      </c>
      <c r="H9" s="159"/>
      <c r="I9" s="160"/>
      <c r="J9" s="12"/>
      <c r="K9" s="5"/>
      <c r="L9" s="5"/>
    </row>
    <row r="10" spans="2:12" ht="16.5" customHeight="1" x14ac:dyDescent="0.25">
      <c r="B10" s="170" t="s">
        <v>75</v>
      </c>
      <c r="C10" s="171"/>
      <c r="D10" s="171"/>
      <c r="E10" s="171"/>
      <c r="F10" s="172"/>
      <c r="G10" s="158">
        <f t="shared" si="0"/>
        <v>3.7199999999999989</v>
      </c>
      <c r="H10" s="159"/>
      <c r="I10" s="160"/>
      <c r="J10" s="12"/>
      <c r="K10" s="5"/>
      <c r="L10" s="5"/>
    </row>
    <row r="11" spans="2:12" ht="16.5" customHeight="1" x14ac:dyDescent="0.25">
      <c r="B11" s="170" t="s">
        <v>76</v>
      </c>
      <c r="C11" s="171"/>
      <c r="D11" s="171"/>
      <c r="E11" s="171"/>
      <c r="F11" s="172"/>
      <c r="G11" s="158">
        <f t="shared" si="0"/>
        <v>1.3595381965129978</v>
      </c>
      <c r="H11" s="159"/>
      <c r="I11" s="160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58">
        <f t="shared" si="0"/>
        <v>3.72</v>
      </c>
      <c r="H12" s="159"/>
      <c r="I12" s="160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58">
        <f t="shared" si="0"/>
        <v>1.0000000000000004</v>
      </c>
      <c r="H13" s="159"/>
      <c r="I13" s="160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58" t="str">
        <f t="shared" si="0"/>
        <v>&gt;187</v>
      </c>
      <c r="H14" s="159"/>
      <c r="I14" s="160"/>
      <c r="J14" s="12"/>
      <c r="K14" s="5"/>
      <c r="L14" s="5"/>
    </row>
    <row r="15" spans="2:12" ht="16.5" customHeight="1" x14ac:dyDescent="0.25">
      <c r="B15" s="170" t="s">
        <v>79</v>
      </c>
      <c r="C15" s="171"/>
      <c r="D15" s="171"/>
      <c r="E15" s="171"/>
      <c r="F15" s="172"/>
      <c r="G15" s="158" t="str">
        <f t="shared" si="0"/>
        <v>&gt;10.0</v>
      </c>
      <c r="H15" s="159"/>
      <c r="I15" s="160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70" t="s">
        <v>80</v>
      </c>
      <c r="C18" s="171"/>
      <c r="D18" s="171"/>
      <c r="E18" s="171"/>
      <c r="F18" s="172"/>
      <c r="G18" s="155">
        <f>K44</f>
        <v>73.203442656761609</v>
      </c>
      <c r="H18" s="156"/>
      <c r="I18" s="157"/>
      <c r="K18" s="5"/>
      <c r="L18" s="5"/>
    </row>
    <row r="19" spans="2:12" ht="16.5" customHeight="1" x14ac:dyDescent="0.25">
      <c r="B19" s="170" t="s">
        <v>81</v>
      </c>
      <c r="C19" s="171"/>
      <c r="D19" s="171"/>
      <c r="E19" s="171"/>
      <c r="F19" s="172"/>
      <c r="G19" s="122">
        <f t="shared" ref="G19:G23" si="1">K45</f>
        <v>1.4321981477532806</v>
      </c>
      <c r="H19" s="123"/>
      <c r="I19" s="124"/>
      <c r="K19" s="5"/>
      <c r="L19" s="5"/>
    </row>
    <row r="20" spans="2:12" ht="16.5" customHeight="1" x14ac:dyDescent="0.25">
      <c r="B20" s="170" t="s">
        <v>82</v>
      </c>
      <c r="C20" s="171"/>
      <c r="D20" s="171"/>
      <c r="E20" s="171"/>
      <c r="F20" s="172"/>
      <c r="G20" s="122">
        <f t="shared" si="1"/>
        <v>9.0887430950024842E-2</v>
      </c>
      <c r="H20" s="123"/>
      <c r="I20" s="124"/>
      <c r="J20" s="2"/>
      <c r="K20" s="5"/>
      <c r="L20" s="5"/>
    </row>
    <row r="21" spans="2:12" ht="16.5" customHeight="1" x14ac:dyDescent="0.25">
      <c r="B21" s="170" t="s">
        <v>49</v>
      </c>
      <c r="C21" s="171"/>
      <c r="D21" s="171"/>
      <c r="E21" s="171"/>
      <c r="F21" s="172"/>
      <c r="G21" s="122">
        <f t="shared" si="1"/>
        <v>0.13016881026067975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5">
        <f t="shared" si="1"/>
        <v>7.3837468779905207</v>
      </c>
      <c r="H22" s="156"/>
      <c r="I22" s="15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5">
        <f t="shared" si="1"/>
        <v>22.301834199611001</v>
      </c>
      <c r="H23" s="156"/>
      <c r="I23" s="15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99.23</v>
      </c>
      <c r="F29" s="31">
        <f t="shared" ref="F29:F40" si="2">IF(E29&gt;0,IF(E29&lt;K$29,K$29-E29,0),0)</f>
        <v>0</v>
      </c>
      <c r="G29" s="32"/>
      <c r="H29" s="31"/>
      <c r="J29" s="33" t="s">
        <v>15</v>
      </c>
      <c r="K29" s="34">
        <f>LOOKUP("LBKF",B29:E51)</f>
        <v>99.05</v>
      </c>
      <c r="L29" s="35"/>
    </row>
    <row r="30" spans="2:12" ht="16.5" customHeight="1" x14ac:dyDescent="0.25">
      <c r="B30" s="119"/>
      <c r="C30" s="120">
        <v>17.29</v>
      </c>
      <c r="D30" s="121"/>
      <c r="E30" s="30">
        <v>100.07</v>
      </c>
      <c r="F30" s="31">
        <f t="shared" si="2"/>
        <v>0</v>
      </c>
      <c r="G30" s="32">
        <f t="shared" ref="G30:G40" si="3">IF(E30&gt;0,IF(E30&lt;=K$29,C30-C29,0),0)</f>
        <v>0</v>
      </c>
      <c r="H30" s="31">
        <f t="shared" ref="H30:H40" si="4">IF(E30&lt;=K$29,G30*(F29+F30)/2,0)</f>
        <v>0</v>
      </c>
      <c r="J30" s="37" t="s">
        <v>71</v>
      </c>
      <c r="K30" s="11">
        <f>SUM(H29:H51)</f>
        <v>51.112649999999924</v>
      </c>
      <c r="L30" s="35"/>
    </row>
    <row r="31" spans="2:12" ht="16.5" customHeight="1" x14ac:dyDescent="0.25">
      <c r="B31" s="119"/>
      <c r="C31" s="120">
        <v>21.87</v>
      </c>
      <c r="D31" s="121"/>
      <c r="E31" s="30">
        <v>99.74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18.68</v>
      </c>
      <c r="L31" s="35"/>
    </row>
    <row r="32" spans="2:12" ht="16.5" customHeight="1" x14ac:dyDescent="0.25">
      <c r="B32" s="119" t="s">
        <v>2</v>
      </c>
      <c r="C32" s="120">
        <v>23.5</v>
      </c>
      <c r="D32" s="121"/>
      <c r="E32" s="30">
        <v>99.05</v>
      </c>
      <c r="F32" s="31">
        <f t="shared" si="2"/>
        <v>0</v>
      </c>
      <c r="G32" s="32">
        <f t="shared" si="3"/>
        <v>1.629999999999999</v>
      </c>
      <c r="H32" s="31">
        <f t="shared" si="4"/>
        <v>0</v>
      </c>
      <c r="J32" s="37" t="s">
        <v>73</v>
      </c>
      <c r="K32" s="11">
        <f>K30/K31</f>
        <v>2.736223233404707</v>
      </c>
      <c r="L32" s="35"/>
    </row>
    <row r="33" spans="2:13" ht="16.5" customHeight="1" x14ac:dyDescent="0.25">
      <c r="B33" s="119"/>
      <c r="C33" s="120">
        <v>24.14</v>
      </c>
      <c r="D33" s="121"/>
      <c r="E33" s="30">
        <v>98.82</v>
      </c>
      <c r="F33" s="31">
        <f t="shared" si="2"/>
        <v>0.23000000000000398</v>
      </c>
      <c r="G33" s="32">
        <f t="shared" si="3"/>
        <v>0.64000000000000057</v>
      </c>
      <c r="H33" s="31">
        <f t="shared" si="4"/>
        <v>7.3600000000001345E-2</v>
      </c>
      <c r="J33" s="37" t="s">
        <v>74</v>
      </c>
      <c r="K33" s="38">
        <f>K31/K32</f>
        <v>6.8269283631351634</v>
      </c>
      <c r="L33" s="35"/>
    </row>
    <row r="34" spans="2:13" ht="16.5" customHeight="1" x14ac:dyDescent="0.25">
      <c r="B34" s="119"/>
      <c r="C34" s="120">
        <v>25.18</v>
      </c>
      <c r="D34" s="121"/>
      <c r="E34" s="30">
        <v>96.96</v>
      </c>
      <c r="F34" s="31">
        <f t="shared" si="2"/>
        <v>2.0900000000000034</v>
      </c>
      <c r="G34" s="32">
        <f t="shared" si="3"/>
        <v>1.0399999999999991</v>
      </c>
      <c r="H34" s="31">
        <f t="shared" si="4"/>
        <v>1.2064000000000028</v>
      </c>
      <c r="J34" s="37" t="s">
        <v>75</v>
      </c>
      <c r="K34" s="11">
        <f>MAX(F29:F51)</f>
        <v>3.7199999999999989</v>
      </c>
      <c r="L34" s="35"/>
    </row>
    <row r="35" spans="2:13" ht="16.5" customHeight="1" x14ac:dyDescent="0.25">
      <c r="B35" s="119"/>
      <c r="C35" s="120">
        <v>27.48</v>
      </c>
      <c r="D35" s="121"/>
      <c r="E35" s="30">
        <v>95.79</v>
      </c>
      <c r="F35" s="31">
        <f t="shared" si="2"/>
        <v>3.2599999999999909</v>
      </c>
      <c r="G35" s="32">
        <f t="shared" si="3"/>
        <v>2.3000000000000007</v>
      </c>
      <c r="H35" s="31">
        <f t="shared" si="4"/>
        <v>6.1524999999999954</v>
      </c>
      <c r="J35" s="37" t="s">
        <v>76</v>
      </c>
      <c r="K35" s="39">
        <f>K34/K32</f>
        <v>1.3595381965129978</v>
      </c>
      <c r="L35" s="35"/>
    </row>
    <row r="36" spans="2:13" ht="16.5" customHeight="1" x14ac:dyDescent="0.25">
      <c r="B36" s="119"/>
      <c r="C36" s="120">
        <v>31.91</v>
      </c>
      <c r="D36" s="121"/>
      <c r="E36" s="30">
        <v>95.33</v>
      </c>
      <c r="F36" s="31">
        <f t="shared" si="2"/>
        <v>3.7199999999999989</v>
      </c>
      <c r="G36" s="32">
        <f t="shared" si="3"/>
        <v>4.43</v>
      </c>
      <c r="H36" s="31">
        <f t="shared" si="4"/>
        <v>15.460699999999976</v>
      </c>
      <c r="J36" s="40" t="s">
        <v>25</v>
      </c>
      <c r="K36" s="41">
        <v>3.72</v>
      </c>
      <c r="L36" s="35"/>
    </row>
    <row r="37" spans="2:13" ht="16.5" customHeight="1" x14ac:dyDescent="0.25">
      <c r="B37" s="119"/>
      <c r="C37" s="120">
        <v>37.880000000000003</v>
      </c>
      <c r="D37" s="121"/>
      <c r="E37" s="30">
        <v>95.84</v>
      </c>
      <c r="F37" s="31">
        <f t="shared" si="2"/>
        <v>3.2099999999999937</v>
      </c>
      <c r="G37" s="32">
        <f t="shared" si="3"/>
        <v>5.9700000000000024</v>
      </c>
      <c r="H37" s="31">
        <f t="shared" si="4"/>
        <v>20.686049999999987</v>
      </c>
      <c r="J37" s="40" t="s">
        <v>77</v>
      </c>
      <c r="K37" s="42">
        <f>+K36/K34</f>
        <v>1.0000000000000004</v>
      </c>
      <c r="L37" s="35"/>
    </row>
    <row r="38" spans="2:13" ht="16.5" customHeight="1" x14ac:dyDescent="0.25">
      <c r="B38" s="119"/>
      <c r="C38" s="120">
        <v>39.94</v>
      </c>
      <c r="D38" s="121"/>
      <c r="E38" s="30">
        <v>96.78</v>
      </c>
      <c r="F38" s="31">
        <f t="shared" si="2"/>
        <v>2.269999999999996</v>
      </c>
      <c r="G38" s="32">
        <f t="shared" si="3"/>
        <v>2.0599999999999952</v>
      </c>
      <c r="H38" s="31">
        <f t="shared" si="4"/>
        <v>5.6443999999999761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41.18</v>
      </c>
      <c r="D39" s="121"/>
      <c r="E39" s="30">
        <v>98.62</v>
      </c>
      <c r="F39" s="31">
        <f t="shared" si="2"/>
        <v>0.42999999999999261</v>
      </c>
      <c r="G39" s="32">
        <f t="shared" si="3"/>
        <v>1.240000000000002</v>
      </c>
      <c r="H39" s="31">
        <f t="shared" si="4"/>
        <v>1.6739999999999957</v>
      </c>
      <c r="J39" s="37" t="s">
        <v>79</v>
      </c>
      <c r="K39" s="11" t="s">
        <v>109</v>
      </c>
      <c r="L39" s="35"/>
    </row>
    <row r="40" spans="2:13" ht="16.5" customHeight="1" x14ac:dyDescent="0.25">
      <c r="B40" s="119" t="s">
        <v>3</v>
      </c>
      <c r="C40" s="120">
        <v>42.18</v>
      </c>
      <c r="D40" s="121"/>
      <c r="E40" s="30">
        <v>99.05</v>
      </c>
      <c r="F40" s="31">
        <f t="shared" si="2"/>
        <v>0</v>
      </c>
      <c r="G40" s="32">
        <f t="shared" si="3"/>
        <v>1</v>
      </c>
      <c r="H40" s="31">
        <f t="shared" si="4"/>
        <v>0.21499999999999631</v>
      </c>
      <c r="J40" s="37" t="s">
        <v>8</v>
      </c>
      <c r="K40" s="108">
        <f>+'Longitudinal Profile'!$H$9</f>
        <v>6.8825910931174096E-4</v>
      </c>
      <c r="L40" s="45"/>
    </row>
    <row r="41" spans="2:13" ht="16.5" customHeight="1" x14ac:dyDescent="0.25">
      <c r="B41" s="119"/>
      <c r="C41" s="120">
        <v>51.23</v>
      </c>
      <c r="D41" s="121"/>
      <c r="E41" s="30">
        <v>99.17</v>
      </c>
      <c r="F41" s="31">
        <f t="shared" ref="F41" si="5">IF(E41&gt;0,IF(E41&lt;K$29,K$29-E41,0),0)</f>
        <v>0</v>
      </c>
      <c r="G41" s="32">
        <f t="shared" ref="G41" si="6">IF(E41&gt;0,IF(E41&lt;=K$29,C41-C40,0),0)</f>
        <v>0</v>
      </c>
      <c r="H41" s="31">
        <f t="shared" ref="H41" si="7">IF(E41&lt;=K$29,G41*(F40+F41)/2,0)</f>
        <v>0</v>
      </c>
      <c r="J41" s="37" t="s">
        <v>10</v>
      </c>
      <c r="K41" s="46">
        <v>4.4999999999999998E-2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24.152446466809415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2.1162514559442061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73.203442656761609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1.4321981477532806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9.0887430950024842E-2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0.13016881026067975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7.3837468779905207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22.301834199611001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2" sqref="D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1" t="s">
        <v>12</v>
      </c>
      <c r="C6" s="72"/>
      <c r="D6" s="73"/>
      <c r="F6" s="178" t="s">
        <v>28</v>
      </c>
      <c r="G6" s="179"/>
      <c r="H6" s="72">
        <f>H7/H11</f>
        <v>207.56302521008405</v>
      </c>
      <c r="I6" s="70"/>
      <c r="J6" s="177"/>
      <c r="K6" s="177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247</v>
      </c>
      <c r="I7" s="67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0.17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6.8825910931174096E-4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8.190283400809717E-4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3" t="s">
        <v>33</v>
      </c>
      <c r="G11" s="174"/>
      <c r="H11" s="31">
        <v>1.19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2020-03-31T14:16:30Z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