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K39" i="81" s="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 s="1"/>
  <c r="D23" i="73"/>
  <c r="E23" i="73"/>
  <c r="D34" i="73"/>
  <c r="E42" i="73"/>
  <c r="E38" i="73"/>
  <c r="D38" i="73"/>
  <c r="C38" i="73"/>
  <c r="D42" i="73"/>
  <c r="C44" i="73"/>
  <c r="D46" i="73"/>
  <c r="E34" i="73"/>
  <c r="E44" i="73"/>
  <c r="D3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D48" i="73"/>
  <c r="F30" i="81"/>
  <c r="F33" i="81"/>
  <c r="F35" i="81"/>
  <c r="G36" i="81"/>
  <c r="F38" i="81"/>
  <c r="G30" i="81"/>
  <c r="H30" i="81" s="1"/>
  <c r="F32" i="81"/>
  <c r="G33" i="81"/>
  <c r="G35" i="81"/>
  <c r="G38" i="81"/>
  <c r="F40" i="81"/>
  <c r="F31" i="81"/>
  <c r="G32" i="81"/>
  <c r="F34" i="81"/>
  <c r="F37" i="81"/>
  <c r="F39" i="81"/>
  <c r="H40" i="81" s="1"/>
  <c r="G40" i="81"/>
  <c r="G31" i="81"/>
  <c r="G34" i="81"/>
  <c r="F36" i="81"/>
  <c r="G37" i="81"/>
  <c r="G39" i="81"/>
  <c r="C34" i="73"/>
  <c r="C42" i="73"/>
  <c r="E46" i="73"/>
  <c r="E36" i="73"/>
  <c r="C46" i="73"/>
  <c r="G7" i="81"/>
  <c r="C15" i="73" s="1"/>
  <c r="H34" i="81" l="1"/>
  <c r="H36" i="81"/>
  <c r="H39" i="81"/>
  <c r="H31" i="81"/>
  <c r="H37" i="81"/>
  <c r="H32" i="81"/>
  <c r="H33" i="81"/>
  <c r="H35" i="81"/>
  <c r="H38" i="81"/>
  <c r="K34" i="81"/>
  <c r="G10" i="81" s="1"/>
  <c r="C18" i="73" s="1"/>
  <c r="K30" i="81" l="1"/>
  <c r="G6" i="81" s="1"/>
  <c r="C14" i="73" s="1"/>
  <c r="K37" i="81"/>
  <c r="G13" i="81" s="1"/>
  <c r="C21" i="73" s="1"/>
  <c r="K32" i="81" l="1"/>
  <c r="G8" i="81" s="1"/>
  <c r="C16" i="73" s="1"/>
  <c r="K35" i="81" l="1"/>
  <c r="G11" i="81" s="1"/>
  <c r="C19" i="73" s="1"/>
  <c r="K42" i="81"/>
  <c r="K43" i="81" s="1"/>
  <c r="K46" i="81" s="1"/>
  <c r="K33" i="81"/>
  <c r="G9" i="81" s="1"/>
  <c r="C17" i="73" s="1"/>
  <c r="K44" i="81" l="1"/>
  <c r="K45" i="81" s="1"/>
  <c r="G19" i="81" s="1"/>
  <c r="C26" i="73" s="1"/>
  <c r="K48" i="81"/>
  <c r="G22" i="81" s="1"/>
  <c r="C29" i="73" s="1"/>
  <c r="G20" i="81"/>
  <c r="C27" i="73" s="1"/>
  <c r="K49" i="81"/>
  <c r="G23" i="81" s="1"/>
  <c r="C30" i="73" s="1"/>
  <c r="G18" i="81" l="1"/>
  <c r="C25" i="73" s="1"/>
  <c r="K47" i="81"/>
  <c r="G21" i="81" s="1"/>
  <c r="C28" i="73" s="1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<sst xmlns="http://schemas.openxmlformats.org/spreadsheetml/2006/main" count="170" uniqueCount="109">
  <si>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</si>
  <si>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</si>
  <si>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</si>
  <si>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</si>
  <si>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</si>
  <si>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</si>
  <si>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</si>
  <si>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</si>
  <si>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</si>
  <si>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</si>
  <si>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</si>
  <si>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</si>
  <si>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</si>
  <si>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</si>
  <si>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</si>
  <si>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</si>
  <si>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</si>
  <si>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</si>
  <si>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</si>
  <si>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</si>
  <si>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</si>
  <si>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</si>
  <si>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</si>
  <si>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</si>
  <si>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</si>
  <si>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</si>
  <si>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</si>
  <si>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</si>
  <si>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</si>
  <si>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</si>
  <si>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</si>
  <si>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</si>
  <si>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</si>
  <si>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</si>
  <si>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</si>
  <si>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</si>
  <si>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</si>
  <si>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</si>
  <si>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</si>
  <si>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</si>
  <si>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</si>
  <si>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</si>
  <si>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</si>
  <si>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</si>
  <si>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</si>
  <si>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</si>
  <si>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</si>
  <si>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</si>
  <si>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</si>
  <si>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</si>
  <si>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</si>
  <si>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</si>
  <si>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</si>
  <si>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</si>
  <si>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</si>
  <si>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</si>
  <si>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</si>
  <si>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</si>
  <si>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</si>
  <si>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</si>
  <si>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</si>
  <si>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</si>
  <si>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</si>
  <si>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</si>
  <si>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</si>
  <si>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</si>
  <si>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</si>
  <si>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</si>
  <si>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</si>
  <si>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</si>
  <si>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</si>
  <si>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</si>
  <si>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</si>
  <si>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</si>
  <si>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</si>
  <si>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</si>
  <si>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</si>
  <si>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</si>
  <si>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</si>
  <si>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</si>
  <si>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</si>
  <si>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</si>
  <si>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</si>
  <si>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</si>
  <si>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</si>
  <si>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</si>
  <si>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</si>
  <si>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</si>
  <si>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</si>
  <si>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</si>
  <si>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</si>
  <si>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</si>
  <si>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</si>
  <si>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</si>
  <si>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</si>
  <si>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</si>
  <si>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</si>
  <si>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</si>
  <si>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</si>
  <si>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</si>
  <si>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</si>
  <si>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</si>
  <si>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</si>
  <si>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</si>
  <si>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Toby Creek, SCDNR Fish Site</t>
  </si>
  <si>
    <t>33.296829, -81.297025</t>
  </si>
  <si>
    <t>Toby Creek</t>
  </si>
  <si>
    <t>sand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</si>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</sst>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16.310000000000002</c:v>
                </c:pt>
                <c:pt idx="2">
                  <c:v>17.899999999999999</c:v>
                </c:pt>
                <c:pt idx="3">
                  <c:v>19.439999999999998</c:v>
                </c:pt>
                <c:pt idx="4">
                  <c:v>20.520000000000003</c:v>
                </c:pt>
                <c:pt idx="5">
                  <c:v>20.740000000000002</c:v>
                </c:pt>
                <c:pt idx="6">
                  <c:v>20.800000000000004</c:v>
                </c:pt>
                <c:pt idx="7">
                  <c:v>22.22</c:v>
                </c:pt>
                <c:pt idx="8">
                  <c:v>28.590000000000003</c:v>
                </c:pt>
                <c:pt idx="9">
                  <c:v>36.96</c:v>
                </c:pt>
                <c:pt idx="10">
                  <c:v>37.51</c:v>
                </c:pt>
                <c:pt idx="11">
                  <c:v>38.300000000000004</c:v>
                </c:pt>
                <c:pt idx="12">
                  <c:v>41.33</c:v>
                </c:pt>
                <c:pt idx="13">
                  <c:v>64.94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99.4</c:v>
                </c:pt>
                <c:pt idx="1">
                  <c:v>100.23</c:v>
                </c:pt>
                <c:pt idx="2">
                  <c:v>99.9</c:v>
                </c:pt>
                <c:pt idx="3">
                  <c:v>99.55</c:v>
                </c:pt>
                <c:pt idx="4">
                  <c:v>98.82</c:v>
                </c:pt>
                <c:pt idx="5">
                  <c:v>98.4</c:v>
                </c:pt>
                <c:pt idx="6">
                  <c:v>98.2</c:v>
                </c:pt>
                <c:pt idx="7">
                  <c:v>98.09</c:v>
                </c:pt>
                <c:pt idx="8">
                  <c:v>97.2</c:v>
                </c:pt>
                <c:pt idx="9">
                  <c:v>97.47</c:v>
                </c:pt>
                <c:pt idx="10">
                  <c:v>99.41</c:v>
                </c:pt>
                <c:pt idx="11">
                  <c:v>99.9</c:v>
                </c:pt>
                <c:pt idx="12">
                  <c:v>99.94</c:v>
                </c:pt>
                <c:pt idx="13">
                  <c:v>99.62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53968"/>
        <c:axId val="133791632"/>
      </c:scatterChart>
      <c:valAx>
        <c:axId val="16275396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3791632"/>
        <c:crosses val="autoZero"/>
        <c:crossBetween val="midCat"/>
      </c:valAx>
      <c:valAx>
        <c:axId val="1337916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75396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89672"/>
        <c:axId val="13378614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33789672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3786144"/>
        <c:crosses val="autoZero"/>
        <c:crossBetween val="midCat"/>
        <c:minorUnit val="25"/>
      </c:valAx>
      <c:valAx>
        <c:axId val="1337861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3378967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4" sqref="B4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43865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108</v>
      </c>
      <c r="D7" s="130"/>
      <c r="E7" s="131"/>
    </row>
    <row r="8" spans="2:5" ht="16.95" customHeight="1" x14ac:dyDescent="0.25">
      <c r="B8" s="15" t="s">
        <v>21</v>
      </c>
      <c r="C8" s="132">
        <v>10.7</v>
      </c>
      <c r="D8" s="133"/>
      <c r="E8" s="134"/>
    </row>
    <row r="9" spans="2:5" ht="16.95" customHeight="1" x14ac:dyDescent="0.25">
      <c r="B9" s="15" t="s">
        <v>89</v>
      </c>
      <c r="C9" s="132" t="s">
        <v>107</v>
      </c>
      <c r="D9" s="133"/>
      <c r="E9" s="134"/>
    </row>
    <row r="10" spans="2:5" ht="16.95" customHeight="1" x14ac:dyDescent="0.25">
      <c r="B10" s="15" t="s">
        <v>52</v>
      </c>
      <c r="C10" s="138">
        <f>'Longitudinal Profile'!H9</f>
        <v>1.490947816826411E-3</v>
      </c>
      <c r="D10" s="139"/>
      <c r="E10" s="140"/>
    </row>
    <row r="11" spans="2:5" ht="16.95" customHeight="1" x14ac:dyDescent="0.25">
      <c r="B11" s="15" t="s">
        <v>53</v>
      </c>
      <c r="C11" s="144">
        <f>'Longitudinal Profile'!H11</f>
        <v>1.1000000000000001</v>
      </c>
      <c r="D11" s="145"/>
      <c r="E11" s="146"/>
    </row>
    <row r="12" spans="2:5" ht="16.95" customHeight="1" thickBot="1" x14ac:dyDescent="0.3">
      <c r="B12" s="15" t="s">
        <v>23</v>
      </c>
      <c r="C12" s="141">
        <f>'Longitudinal Profile'!H7</f>
        <v>93.9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40.743550000000084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20.400000000000006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1.9972328431372586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10.214132052803434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2.7000000000000028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1.3518704187533968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2.7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0.999999999999999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>
        <f>'Cross-section'!G14</f>
        <v>193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>
        <f>'Cross-section'!G15</f>
        <v>9.4607843137254868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2" t="s">
        <v>54</v>
      </c>
      <c r="D24" s="153"/>
      <c r="E24" s="154"/>
    </row>
    <row r="25" spans="2:5" ht="16.95" customHeight="1" x14ac:dyDescent="0.25">
      <c r="B25" s="40" t="s">
        <v>80</v>
      </c>
      <c r="C25" s="122">
        <f>'Cross-section'!G18</f>
        <v>66.00735227506074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1.6200687538287804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0.15538696689231649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0.2517375698144691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12.623726071676852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38.128642609761641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0" t="s">
        <v>17</v>
      </c>
      <c r="C31" s="147" t="s">
        <v>57</v>
      </c>
      <c r="D31" s="148"/>
      <c r="E31" s="149"/>
    </row>
    <row r="32" spans="2:5" ht="16.95" customHeight="1" thickBot="1" x14ac:dyDescent="0.3">
      <c r="B32" s="151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0" t="s">
        <v>17</v>
      </c>
      <c r="C39" s="147" t="s">
        <v>58</v>
      </c>
      <c r="D39" s="148"/>
      <c r="E39" s="149"/>
    </row>
    <row r="40" spans="2:5" ht="16.95" customHeight="1" thickBot="1" x14ac:dyDescent="0.3">
      <c r="B40" s="151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1" t="s">
        <v>17</v>
      </c>
      <c r="C5" s="162"/>
      <c r="D5" s="162"/>
      <c r="E5" s="162"/>
      <c r="F5" s="163"/>
      <c r="G5" s="161" t="s">
        <v>64</v>
      </c>
      <c r="H5" s="162"/>
      <c r="I5" s="163"/>
      <c r="K5" s="5"/>
      <c r="L5" s="5"/>
    </row>
    <row r="6" spans="2:12" ht="16.5" customHeight="1" x14ac:dyDescent="0.25">
      <c r="B6" s="170" t="s">
        <v>71</v>
      </c>
      <c r="C6" s="171"/>
      <c r="D6" s="171"/>
      <c r="E6" s="171"/>
      <c r="F6" s="172"/>
      <c r="G6" s="158">
        <f>K30</f>
        <v>40.743550000000084</v>
      </c>
      <c r="H6" s="159"/>
      <c r="I6" s="160"/>
      <c r="K6" s="5"/>
      <c r="L6" s="5"/>
    </row>
    <row r="7" spans="2:12" ht="16.5" customHeight="1" x14ac:dyDescent="0.25">
      <c r="B7" s="170" t="s">
        <v>72</v>
      </c>
      <c r="C7" s="171"/>
      <c r="D7" s="171"/>
      <c r="E7" s="171"/>
      <c r="F7" s="172"/>
      <c r="G7" s="158">
        <f t="shared" ref="G7:G15" si="0">K31</f>
        <v>20.400000000000006</v>
      </c>
      <c r="H7" s="159"/>
      <c r="I7" s="160"/>
      <c r="J7" s="12"/>
      <c r="K7" s="5"/>
      <c r="L7" s="5"/>
    </row>
    <row r="8" spans="2:12" ht="16.5" customHeight="1" x14ac:dyDescent="0.25">
      <c r="B8" s="170" t="s">
        <v>73</v>
      </c>
      <c r="C8" s="171"/>
      <c r="D8" s="171"/>
      <c r="E8" s="171"/>
      <c r="F8" s="172"/>
      <c r="G8" s="158">
        <f t="shared" si="0"/>
        <v>1.9972328431372586</v>
      </c>
      <c r="H8" s="159"/>
      <c r="I8" s="160"/>
      <c r="J8" s="12"/>
      <c r="K8" s="5"/>
      <c r="L8" s="5"/>
    </row>
    <row r="9" spans="2:12" ht="16.5" customHeight="1" x14ac:dyDescent="0.25">
      <c r="B9" s="170" t="s">
        <v>74</v>
      </c>
      <c r="C9" s="171"/>
      <c r="D9" s="171"/>
      <c r="E9" s="171"/>
      <c r="F9" s="172"/>
      <c r="G9" s="158">
        <f t="shared" si="0"/>
        <v>10.214132052803434</v>
      </c>
      <c r="H9" s="159"/>
      <c r="I9" s="160"/>
      <c r="J9" s="12"/>
      <c r="K9" s="5"/>
      <c r="L9" s="5"/>
    </row>
    <row r="10" spans="2:12" ht="16.5" customHeight="1" x14ac:dyDescent="0.25">
      <c r="B10" s="170" t="s">
        <v>75</v>
      </c>
      <c r="C10" s="171"/>
      <c r="D10" s="171"/>
      <c r="E10" s="171"/>
      <c r="F10" s="172"/>
      <c r="G10" s="158">
        <f t="shared" si="0"/>
        <v>2.7000000000000028</v>
      </c>
      <c r="H10" s="159"/>
      <c r="I10" s="160"/>
      <c r="J10" s="12"/>
      <c r="K10" s="5"/>
      <c r="L10" s="5"/>
    </row>
    <row r="11" spans="2:12" ht="16.5" customHeight="1" x14ac:dyDescent="0.25">
      <c r="B11" s="170" t="s">
        <v>76</v>
      </c>
      <c r="C11" s="171"/>
      <c r="D11" s="171"/>
      <c r="E11" s="171"/>
      <c r="F11" s="172"/>
      <c r="G11" s="158">
        <f t="shared" si="0"/>
        <v>1.3518704187533968</v>
      </c>
      <c r="H11" s="159"/>
      <c r="I11" s="160"/>
      <c r="J11" s="12"/>
      <c r="K11" s="5"/>
      <c r="L11" s="5"/>
    </row>
    <row r="12" spans="2:12" ht="16.5" customHeight="1" x14ac:dyDescent="0.25">
      <c r="B12" s="167" t="s">
        <v>25</v>
      </c>
      <c r="C12" s="168"/>
      <c r="D12" s="168"/>
      <c r="E12" s="168"/>
      <c r="F12" s="169"/>
      <c r="G12" s="158">
        <f t="shared" si="0"/>
        <v>2.7</v>
      </c>
      <c r="H12" s="159"/>
      <c r="I12" s="160"/>
      <c r="J12" s="12"/>
      <c r="K12" s="5"/>
      <c r="L12" s="5"/>
    </row>
    <row r="13" spans="2:12" ht="16.5" customHeight="1" x14ac:dyDescent="0.25">
      <c r="B13" s="167" t="s">
        <v>77</v>
      </c>
      <c r="C13" s="168"/>
      <c r="D13" s="168"/>
      <c r="E13" s="168"/>
      <c r="F13" s="169"/>
      <c r="G13" s="158">
        <f t="shared" si="0"/>
        <v>0.999999999999999</v>
      </c>
      <c r="H13" s="159"/>
      <c r="I13" s="160"/>
      <c r="J13" s="12"/>
      <c r="K13" s="5"/>
      <c r="L13" s="5"/>
    </row>
    <row r="14" spans="2:12" ht="16.5" customHeight="1" x14ac:dyDescent="0.25">
      <c r="B14" s="164" t="s">
        <v>78</v>
      </c>
      <c r="C14" s="165"/>
      <c r="D14" s="165"/>
      <c r="E14" s="165"/>
      <c r="F14" s="166"/>
      <c r="G14" s="158">
        <f t="shared" si="0"/>
        <v>193</v>
      </c>
      <c r="H14" s="159"/>
      <c r="I14" s="160"/>
      <c r="J14" s="12"/>
      <c r="K14" s="5"/>
      <c r="L14" s="5"/>
    </row>
    <row r="15" spans="2:12" ht="16.5" customHeight="1" x14ac:dyDescent="0.25">
      <c r="B15" s="170" t="s">
        <v>79</v>
      </c>
      <c r="C15" s="171"/>
      <c r="D15" s="171"/>
      <c r="E15" s="171"/>
      <c r="F15" s="172"/>
      <c r="G15" s="158">
        <f t="shared" si="0"/>
        <v>9.4607843137254868</v>
      </c>
      <c r="H15" s="159"/>
      <c r="I15" s="16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1" t="s">
        <v>17</v>
      </c>
      <c r="C17" s="162"/>
      <c r="D17" s="162"/>
      <c r="E17" s="162"/>
      <c r="F17" s="163"/>
      <c r="G17" s="161" t="s">
        <v>54</v>
      </c>
      <c r="H17" s="162"/>
      <c r="I17" s="163"/>
      <c r="K17" s="5"/>
      <c r="L17" s="5"/>
    </row>
    <row r="18" spans="2:12" ht="16.5" customHeight="1" x14ac:dyDescent="0.25">
      <c r="B18" s="170" t="s">
        <v>80</v>
      </c>
      <c r="C18" s="171"/>
      <c r="D18" s="171"/>
      <c r="E18" s="171"/>
      <c r="F18" s="172"/>
      <c r="G18" s="155">
        <f>K44</f>
        <v>66.00735227506074</v>
      </c>
      <c r="H18" s="156"/>
      <c r="I18" s="157"/>
      <c r="K18" s="5"/>
      <c r="L18" s="5"/>
    </row>
    <row r="19" spans="2:12" ht="16.5" customHeight="1" x14ac:dyDescent="0.25">
      <c r="B19" s="170" t="s">
        <v>81</v>
      </c>
      <c r="C19" s="171"/>
      <c r="D19" s="171"/>
      <c r="E19" s="171"/>
      <c r="F19" s="172"/>
      <c r="G19" s="122">
        <f t="shared" ref="G19:G23" si="1">K45</f>
        <v>1.6200687538287804</v>
      </c>
      <c r="H19" s="123"/>
      <c r="I19" s="124"/>
      <c r="K19" s="5"/>
      <c r="L19" s="5"/>
    </row>
    <row r="20" spans="2:12" ht="16.5" customHeight="1" x14ac:dyDescent="0.25">
      <c r="B20" s="170" t="s">
        <v>82</v>
      </c>
      <c r="C20" s="171"/>
      <c r="D20" s="171"/>
      <c r="E20" s="171"/>
      <c r="F20" s="172"/>
      <c r="G20" s="122">
        <f t="shared" si="1"/>
        <v>0.15538696689231649</v>
      </c>
      <c r="H20" s="123"/>
      <c r="I20" s="124"/>
      <c r="J20" s="2"/>
      <c r="K20" s="5"/>
      <c r="L20" s="5"/>
    </row>
    <row r="21" spans="2:12" ht="16.5" customHeight="1" x14ac:dyDescent="0.25">
      <c r="B21" s="170" t="s">
        <v>49</v>
      </c>
      <c r="C21" s="171"/>
      <c r="D21" s="171"/>
      <c r="E21" s="171"/>
      <c r="F21" s="172"/>
      <c r="G21" s="122">
        <f t="shared" si="1"/>
        <v>0.2517375698144691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5">
        <f t="shared" si="1"/>
        <v>12.623726071676852</v>
      </c>
      <c r="H22" s="156"/>
      <c r="I22" s="157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5">
        <f t="shared" si="1"/>
        <v>38.128642609761641</v>
      </c>
      <c r="H23" s="156"/>
      <c r="I23" s="157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99.4</v>
      </c>
      <c r="F29" s="31"/>
      <c r="G29" s="32"/>
      <c r="H29" s="31"/>
      <c r="J29" s="33" t="s">
        <v>15</v>
      </c>
      <c r="K29" s="34">
        <f>LOOKUP("LBKF",B29:E51)</f>
        <v>99.9</v>
      </c>
      <c r="L29" s="35"/>
    </row>
    <row r="30" spans="2:12" ht="16.5" customHeight="1" x14ac:dyDescent="0.25">
      <c r="B30" s="119"/>
      <c r="C30" s="120">
        <v>16.310000000000002</v>
      </c>
      <c r="D30" s="121"/>
      <c r="E30" s="30">
        <v>100.23</v>
      </c>
      <c r="F30" s="31">
        <f t="shared" ref="F30:F40" si="2">IF(E30&gt;0,IF(E30&lt;K$29,K$29-E30,0),0)</f>
        <v>0</v>
      </c>
      <c r="G30" s="32">
        <f t="shared" ref="G30:G40" si="3">IF(E30&gt;0,IF(E30&lt;=K$29,C30-C29,0),0)</f>
        <v>0</v>
      </c>
      <c r="H30" s="31">
        <f t="shared" ref="H30:H40" si="4">IF(E30&lt;=K$29,G30*(F29+F30)/2,0)</f>
        <v>0</v>
      </c>
      <c r="J30" s="37" t="s">
        <v>71</v>
      </c>
      <c r="K30" s="11">
        <f>SUM(H29:H51)</f>
        <v>40.743550000000084</v>
      </c>
      <c r="L30" s="35"/>
    </row>
    <row r="31" spans="2:12" ht="16.5" customHeight="1" x14ac:dyDescent="0.25">
      <c r="B31" s="119" t="s">
        <v>2</v>
      </c>
      <c r="C31" s="120">
        <v>17.899999999999999</v>
      </c>
      <c r="D31" s="121"/>
      <c r="E31" s="30">
        <v>99.9</v>
      </c>
      <c r="F31" s="31">
        <f t="shared" si="2"/>
        <v>0</v>
      </c>
      <c r="G31" s="32">
        <f t="shared" si="3"/>
        <v>1.5899999999999963</v>
      </c>
      <c r="H31" s="31">
        <f t="shared" si="4"/>
        <v>0</v>
      </c>
      <c r="J31" s="37" t="s">
        <v>72</v>
      </c>
      <c r="K31" s="11">
        <f>LOOKUP("RBKF",B29:C51)-LOOKUP("LBKF",B29:C51)</f>
        <v>20.400000000000006</v>
      </c>
      <c r="L31" s="35"/>
    </row>
    <row r="32" spans="2:12" ht="16.5" customHeight="1" x14ac:dyDescent="0.25">
      <c r="B32" s="119"/>
      <c r="C32" s="120">
        <v>19.439999999999998</v>
      </c>
      <c r="D32" s="121"/>
      <c r="E32" s="30">
        <v>99.55</v>
      </c>
      <c r="F32" s="31">
        <f t="shared" si="2"/>
        <v>0.35000000000000853</v>
      </c>
      <c r="G32" s="32">
        <f t="shared" si="3"/>
        <v>1.5399999999999991</v>
      </c>
      <c r="H32" s="31">
        <f t="shared" si="4"/>
        <v>0.2695000000000064</v>
      </c>
      <c r="J32" s="37" t="s">
        <v>73</v>
      </c>
      <c r="K32" s="11">
        <f>K30/K31</f>
        <v>1.9972328431372586</v>
      </c>
      <c r="L32" s="35"/>
    </row>
    <row r="33" spans="2:13" ht="16.5" customHeight="1" x14ac:dyDescent="0.25">
      <c r="B33" s="119"/>
      <c r="C33" s="120">
        <v>20.520000000000003</v>
      </c>
      <c r="D33" s="121"/>
      <c r="E33" s="30">
        <v>98.82</v>
      </c>
      <c r="F33" s="31">
        <f t="shared" si="2"/>
        <v>1.0800000000000125</v>
      </c>
      <c r="G33" s="32">
        <f t="shared" si="3"/>
        <v>1.0800000000000054</v>
      </c>
      <c r="H33" s="31">
        <f t="shared" si="4"/>
        <v>0.77220000000001521</v>
      </c>
      <c r="J33" s="37" t="s">
        <v>74</v>
      </c>
      <c r="K33" s="38">
        <f>K31/K32</f>
        <v>10.214132052803434</v>
      </c>
      <c r="L33" s="35"/>
    </row>
    <row r="34" spans="2:13" ht="16.5" customHeight="1" x14ac:dyDescent="0.25">
      <c r="B34" s="119"/>
      <c r="C34" s="120">
        <v>20.740000000000002</v>
      </c>
      <c r="D34" s="121"/>
      <c r="E34" s="30">
        <v>98.4</v>
      </c>
      <c r="F34" s="31">
        <f t="shared" si="2"/>
        <v>1.5</v>
      </c>
      <c r="G34" s="32">
        <f t="shared" si="3"/>
        <v>0.21999999999999886</v>
      </c>
      <c r="H34" s="31">
        <f t="shared" si="4"/>
        <v>0.28379999999999989</v>
      </c>
      <c r="J34" s="37" t="s">
        <v>75</v>
      </c>
      <c r="K34" s="11">
        <f>MAX(F29:F51)</f>
        <v>2.7000000000000028</v>
      </c>
      <c r="L34" s="35"/>
    </row>
    <row r="35" spans="2:13" ht="16.5" customHeight="1" x14ac:dyDescent="0.25">
      <c r="B35" s="119"/>
      <c r="C35" s="120">
        <v>20.800000000000004</v>
      </c>
      <c r="D35" s="121"/>
      <c r="E35" s="30">
        <v>98.2</v>
      </c>
      <c r="F35" s="31">
        <f t="shared" si="2"/>
        <v>1.7000000000000028</v>
      </c>
      <c r="G35" s="32">
        <f t="shared" si="3"/>
        <v>6.0000000000002274E-2</v>
      </c>
      <c r="H35" s="31">
        <f t="shared" si="4"/>
        <v>9.6000000000003721E-2</v>
      </c>
      <c r="J35" s="37" t="s">
        <v>76</v>
      </c>
      <c r="K35" s="39">
        <f>K34/K32</f>
        <v>1.3518704187533968</v>
      </c>
      <c r="L35" s="35"/>
    </row>
    <row r="36" spans="2:13" ht="16.5" customHeight="1" x14ac:dyDescent="0.25">
      <c r="B36" s="119"/>
      <c r="C36" s="120">
        <v>22.22</v>
      </c>
      <c r="D36" s="121"/>
      <c r="E36" s="30">
        <v>98.09</v>
      </c>
      <c r="F36" s="31">
        <f t="shared" si="2"/>
        <v>1.8100000000000023</v>
      </c>
      <c r="G36" s="32">
        <f t="shared" si="3"/>
        <v>1.4199999999999946</v>
      </c>
      <c r="H36" s="31">
        <f t="shared" si="4"/>
        <v>2.492099999999994</v>
      </c>
      <c r="J36" s="40" t="s">
        <v>25</v>
      </c>
      <c r="K36" s="41">
        <v>2.7</v>
      </c>
      <c r="L36" s="35"/>
    </row>
    <row r="37" spans="2:13" ht="16.5" customHeight="1" x14ac:dyDescent="0.25">
      <c r="B37" s="119"/>
      <c r="C37" s="120">
        <v>28.590000000000003</v>
      </c>
      <c r="D37" s="121"/>
      <c r="E37" s="30">
        <v>97.2</v>
      </c>
      <c r="F37" s="31">
        <f t="shared" si="2"/>
        <v>2.7000000000000028</v>
      </c>
      <c r="G37" s="32">
        <f t="shared" si="3"/>
        <v>6.3700000000000045</v>
      </c>
      <c r="H37" s="31">
        <f t="shared" si="4"/>
        <v>14.364350000000027</v>
      </c>
      <c r="J37" s="40" t="s">
        <v>77</v>
      </c>
      <c r="K37" s="42">
        <f>+K36/K34</f>
        <v>0.999999999999999</v>
      </c>
      <c r="L37" s="35"/>
    </row>
    <row r="38" spans="2:13" ht="16.5" customHeight="1" x14ac:dyDescent="0.25">
      <c r="B38" s="119"/>
      <c r="C38" s="120">
        <v>36.96</v>
      </c>
      <c r="D38" s="121"/>
      <c r="E38" s="30">
        <v>97.47</v>
      </c>
      <c r="F38" s="31">
        <f t="shared" si="2"/>
        <v>2.4300000000000068</v>
      </c>
      <c r="G38" s="32">
        <f t="shared" si="3"/>
        <v>8.3699999999999974</v>
      </c>
      <c r="H38" s="31">
        <f t="shared" si="4"/>
        <v>21.469050000000035</v>
      </c>
      <c r="J38" s="43" t="s">
        <v>78</v>
      </c>
      <c r="K38" s="44">
        <v>193</v>
      </c>
      <c r="L38" s="35"/>
    </row>
    <row r="39" spans="2:13" ht="16.5" customHeight="1" x14ac:dyDescent="0.25">
      <c r="B39" s="119"/>
      <c r="C39" s="120">
        <v>37.51</v>
      </c>
      <c r="D39" s="121"/>
      <c r="E39" s="30">
        <v>99.41</v>
      </c>
      <c r="F39" s="31">
        <f t="shared" si="2"/>
        <v>0.49000000000000909</v>
      </c>
      <c r="G39" s="32">
        <f t="shared" si="3"/>
        <v>0.54999999999999716</v>
      </c>
      <c r="H39" s="31">
        <f t="shared" si="4"/>
        <v>0.80300000000000027</v>
      </c>
      <c r="J39" s="37" t="s">
        <v>79</v>
      </c>
      <c r="K39" s="11">
        <f>K38/K31</f>
        <v>9.4607843137254868</v>
      </c>
      <c r="L39" s="35"/>
    </row>
    <row r="40" spans="2:13" ht="16.5" customHeight="1" x14ac:dyDescent="0.25">
      <c r="B40" s="119" t="s">
        <v>3</v>
      </c>
      <c r="C40" s="120">
        <v>38.300000000000004</v>
      </c>
      <c r="D40" s="121"/>
      <c r="E40" s="30">
        <v>99.9</v>
      </c>
      <c r="F40" s="31">
        <f t="shared" si="2"/>
        <v>0</v>
      </c>
      <c r="G40" s="32">
        <f t="shared" si="3"/>
        <v>0.79000000000000625</v>
      </c>
      <c r="H40" s="31">
        <f t="shared" si="4"/>
        <v>0.19355000000000513</v>
      </c>
      <c r="J40" s="37" t="s">
        <v>8</v>
      </c>
      <c r="K40" s="108">
        <f>+'Longitudinal Profile'!$H$9</f>
        <v>1.490947816826411E-3</v>
      </c>
      <c r="L40" s="45"/>
    </row>
    <row r="41" spans="2:13" ht="16.5" customHeight="1" x14ac:dyDescent="0.25">
      <c r="B41" s="119"/>
      <c r="C41" s="120">
        <v>41.33</v>
      </c>
      <c r="D41" s="121"/>
      <c r="E41" s="30">
        <v>99.94</v>
      </c>
      <c r="F41" s="31"/>
      <c r="G41" s="32"/>
      <c r="H41" s="31"/>
      <c r="J41" s="37" t="s">
        <v>10</v>
      </c>
      <c r="K41" s="46">
        <v>0.05</v>
      </c>
      <c r="L41" s="45"/>
    </row>
    <row r="42" spans="2:13" ht="16.5" customHeight="1" x14ac:dyDescent="0.25">
      <c r="B42" s="119"/>
      <c r="C42" s="120">
        <v>64.94</v>
      </c>
      <c r="D42" s="121"/>
      <c r="E42" s="30">
        <v>99.62</v>
      </c>
      <c r="F42" s="31"/>
      <c r="G42" s="32"/>
      <c r="H42" s="31"/>
      <c r="J42" s="37" t="s">
        <v>27</v>
      </c>
      <c r="K42" s="14">
        <f>K31+2*K32</f>
        <v>24.394465686274522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1.6701964504565612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66.00735227506074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1.6200687538287804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0.15538696689231649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0.2517375698144691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12.623726071676852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38.128642609761641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3" sqref="E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6" t="s">
        <v>17</v>
      </c>
      <c r="K5" s="177"/>
      <c r="L5" s="180" t="s">
        <v>47</v>
      </c>
      <c r="M5" s="181"/>
      <c r="N5" s="181"/>
      <c r="O5" s="181"/>
      <c r="P5" s="181"/>
      <c r="Q5" s="181"/>
      <c r="R5" s="181"/>
      <c r="S5" s="182"/>
      <c r="T5" s="175" t="s">
        <v>34</v>
      </c>
      <c r="U5" s="175"/>
      <c r="V5" s="175"/>
    </row>
    <row r="6" spans="2:22" ht="16.5" customHeight="1" thickTop="1" thickBot="1" x14ac:dyDescent="0.35">
      <c r="B6" s="71" t="s">
        <v>12</v>
      </c>
      <c r="C6" s="72"/>
      <c r="D6" s="73"/>
      <c r="F6" s="178" t="s">
        <v>28</v>
      </c>
      <c r="G6" s="179"/>
      <c r="H6" s="72">
        <f>H7/H11</f>
        <v>85.36363636363636</v>
      </c>
      <c r="I6" s="70"/>
      <c r="J6" s="177"/>
      <c r="K6" s="177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93.9</v>
      </c>
      <c r="I7" s="67"/>
      <c r="J7" s="176" t="s">
        <v>85</v>
      </c>
      <c r="K7" s="176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0.14000000000000001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1.490947816826411E-3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1.6400425985090522E-3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3" t="s">
        <v>33</v>
      </c>
      <c r="G11" s="174"/>
      <c r="H11" s="31">
        <v>1.1000000000000001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6" t="s">
        <v>17</v>
      </c>
      <c r="C5" s="180" t="s">
        <v>35</v>
      </c>
      <c r="D5" s="181"/>
      <c r="E5" s="181"/>
      <c r="F5" s="181"/>
      <c r="G5" s="181"/>
      <c r="H5" s="175" t="s">
        <v>34</v>
      </c>
      <c r="I5" s="175"/>
      <c r="J5" s="175"/>
    </row>
    <row r="6" spans="2:10" ht="16.5" customHeight="1" thickBot="1" x14ac:dyDescent="0.3">
      <c r="B6" s="183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