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16" windowHeight="931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70" l="1"/>
  <c r="K39" i="81"/>
  <c r="K29" i="81"/>
  <c r="F30" i="81"/>
  <c r="G30" i="81"/>
  <c r="H30" i="81"/>
  <c r="F32" i="81"/>
  <c r="G32" i="81"/>
  <c r="F31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G31" i="81"/>
  <c r="H31" i="81"/>
  <c r="K30" i="81"/>
  <c r="K31" i="81"/>
  <c r="K32" i="81"/>
  <c r="K42" i="81"/>
  <c r="K43" i="81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G15" i="81"/>
  <c r="G6" i="81"/>
  <c r="C7" i="70"/>
  <c r="L30" i="70"/>
  <c r="D7" i="70"/>
  <c r="L23" i="70"/>
  <c r="C6" i="70"/>
  <c r="M30" i="70"/>
  <c r="N30" i="70"/>
  <c r="D6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36" i="73"/>
  <c r="C23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<sst xmlns="http://schemas.openxmlformats.org/spreadsheetml/2006/main" count="170" uniqueCount="109">
  <si>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</si>
  <si>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</si>
  <si>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</si>
  <si>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</si>
  <si>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</si>
  <si>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</si>
  <si>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</si>
  <si>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</si>
  <si>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</si>
  <si>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</si>
  <si>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</si>
  <si>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</si>
  <si>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</si>
  <si>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</si>
  <si>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</si>
  <si>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</si>
  <si>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</si>
  <si>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</si>
  <si>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</si>
  <si>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</si>
  <si>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</si>
  <si>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</si>
  <si>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</si>
  <si>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</si>
  <si>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</si>
  <si>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</si>
  <si>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</si>
  <si>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</si>
  <si>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</si>
  <si>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</si>
  <si>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</si>
  <si>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</si>
  <si>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</si>
  <si>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</si>
  <si>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</si>
  <si>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</si>
  <si>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</si>
  <si>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</si>
  <si>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</si>
  <si>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</si>
  <si>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</si>
  <si>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</si>
  <si>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</si>
  <si>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</si>
  <si>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</si>
  <si>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</si>
  <si>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</si>
  <si>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</si>
  <si>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</si>
  <si>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</si>
  <si>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</si>
  <si>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</si>
  <si>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</si>
  <si>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</si>
  <si>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</si>
  <si>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</si>
  <si>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</si>
  <si>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</si>
  <si>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</si>
  <si>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</si>
  <si>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</si>
  <si>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</si>
  <si>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</si>
  <si>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</si>
  <si>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</si>
  <si>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</si>
  <si>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</si>
  <si>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</si>
  <si>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</si>
  <si>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</si>
  <si>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</si>
  <si>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</si>
  <si>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</si>
  <si>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</si>
  <si>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</si>
  <si>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</si>
  <si>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</si>
  <si>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</si>
  <si>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</si>
  <si>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</si>
  <si>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</si>
  <si>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</si>
  <si>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</si>
  <si>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</si>
  <si>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</si>
  <si>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</si>
  <si>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</si>
  <si>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</si>
  <si>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</si>
  <si>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</si>
  <si>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</si>
  <si>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</si>
  <si>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</si>
  <si>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</si>
  <si>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</si>
  <si>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</si>
  <si>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</si>
  <si>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</si>
  <si>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</si>
  <si>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</si>
  <si>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</si>
  <si>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</si>
  <si>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</si>
  <si>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</si>
  <si>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gravel</t>
  </si>
  <si>
    <t>E4</t>
  </si>
  <si>
    <t>UT2 Long Branch, Kings Mountain NMP</t>
  </si>
  <si>
    <t>35.137778, -81.376944</t>
  </si>
  <si>
    <t>UT2 Long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</si>
</sst>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6.5</c:v>
                </c:pt>
                <c:pt idx="3">
                  <c:v>7.5</c:v>
                </c:pt>
                <c:pt idx="4">
                  <c:v>8.5</c:v>
                </c:pt>
                <c:pt idx="5">
                  <c:v>10</c:v>
                </c:pt>
                <c:pt idx="6">
                  <c:v>11</c:v>
                </c:pt>
                <c:pt idx="7">
                  <c:v>11.5</c:v>
                </c:pt>
                <c:pt idx="8">
                  <c:v>12</c:v>
                </c:pt>
                <c:pt idx="9">
                  <c:v>17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100</c:v>
                </c:pt>
                <c:pt idx="1">
                  <c:v>100</c:v>
                </c:pt>
                <c:pt idx="2">
                  <c:v>99.8</c:v>
                </c:pt>
                <c:pt idx="3">
                  <c:v>99</c:v>
                </c:pt>
                <c:pt idx="4">
                  <c:v>98.9</c:v>
                </c:pt>
                <c:pt idx="5">
                  <c:v>99</c:v>
                </c:pt>
                <c:pt idx="6">
                  <c:v>99.1</c:v>
                </c:pt>
                <c:pt idx="7">
                  <c:v>99.8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51856"/>
        <c:axId val="125420232"/>
      </c:scatterChart>
      <c:valAx>
        <c:axId val="1553518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420232"/>
        <c:crosses val="autoZero"/>
        <c:crossBetween val="midCat"/>
      </c:valAx>
      <c:valAx>
        <c:axId val="125420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535185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23368"/>
        <c:axId val="12542376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25423368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423760"/>
        <c:crosses val="autoZero"/>
        <c:crossBetween val="midCat"/>
        <c:minorUnit val="25"/>
      </c:valAx>
      <c:valAx>
        <c:axId val="12542376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25423368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106</v>
      </c>
      <c r="C1" s="111">
        <v>43818</v>
      </c>
      <c r="D1" s="106"/>
      <c r="E1" s="112" t="s">
        <v>107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37" t="s">
        <v>50</v>
      </c>
      <c r="D5" s="137"/>
      <c r="E5" s="137"/>
    </row>
    <row r="6" spans="2:5" ht="16.95" customHeight="1" thickTop="1" x14ac:dyDescent="0.25">
      <c r="B6" s="15" t="s">
        <v>60</v>
      </c>
      <c r="C6" s="138" t="s">
        <v>108</v>
      </c>
      <c r="D6" s="139"/>
      <c r="E6" s="140"/>
    </row>
    <row r="7" spans="2:5" ht="16.95" customHeight="1" x14ac:dyDescent="0.25">
      <c r="B7" s="15" t="s">
        <v>59</v>
      </c>
      <c r="C7" s="141" t="s">
        <v>105</v>
      </c>
      <c r="D7" s="142"/>
      <c r="E7" s="143"/>
    </row>
    <row r="8" spans="2:5" ht="16.95" customHeight="1" x14ac:dyDescent="0.25">
      <c r="B8" s="15" t="s">
        <v>21</v>
      </c>
      <c r="C8" s="144">
        <v>0.06</v>
      </c>
      <c r="D8" s="145"/>
      <c r="E8" s="146"/>
    </row>
    <row r="9" spans="2:5" ht="16.95" customHeight="1" x14ac:dyDescent="0.25">
      <c r="B9" s="15" t="s">
        <v>89</v>
      </c>
      <c r="C9" s="156" t="s">
        <v>104</v>
      </c>
      <c r="D9" s="157"/>
      <c r="E9" s="158"/>
    </row>
    <row r="10" spans="2:5" ht="16.95" customHeight="1" x14ac:dyDescent="0.25">
      <c r="B10" s="15" t="s">
        <v>52</v>
      </c>
      <c r="C10" s="150">
        <f>'Longitudinal Profile'!H9</f>
        <v>1.18E-2</v>
      </c>
      <c r="D10" s="151"/>
      <c r="E10" s="152"/>
    </row>
    <row r="11" spans="2:5" ht="16.95" customHeight="1" x14ac:dyDescent="0.25">
      <c r="B11" s="15" t="s">
        <v>53</v>
      </c>
      <c r="C11" s="159">
        <f>'Longitudinal Profile'!H11</f>
        <v>1.1100000000000001</v>
      </c>
      <c r="D11" s="160"/>
      <c r="E11" s="161"/>
    </row>
    <row r="12" spans="2:5" ht="16.95" customHeight="1" thickBot="1" x14ac:dyDescent="0.3">
      <c r="B12" s="15" t="s">
        <v>23</v>
      </c>
      <c r="C12" s="153">
        <f>'Longitudinal Profile'!H7</f>
        <v>0</v>
      </c>
      <c r="D12" s="154"/>
      <c r="E12" s="155"/>
    </row>
    <row r="13" spans="2:5" ht="16.95" customHeight="1" thickTop="1" x14ac:dyDescent="0.25">
      <c r="B13" s="117" t="s">
        <v>17</v>
      </c>
      <c r="C13" s="147" t="s">
        <v>64</v>
      </c>
      <c r="D13" s="148"/>
      <c r="E13" s="149"/>
    </row>
    <row r="14" spans="2:5" ht="16.95" customHeight="1" x14ac:dyDescent="0.25">
      <c r="B14" s="115" t="s">
        <v>71</v>
      </c>
      <c r="C14" s="134">
        <f>'Cross-section'!G6</f>
        <v>4.6500000000000021</v>
      </c>
      <c r="D14" s="135"/>
      <c r="E14" s="136"/>
    </row>
    <row r="15" spans="2:5" ht="16.95" customHeight="1" x14ac:dyDescent="0.25">
      <c r="B15" s="40" t="s">
        <v>72</v>
      </c>
      <c r="C15" s="134">
        <f>'Cross-section'!G7</f>
        <v>7</v>
      </c>
      <c r="D15" s="135">
        <f>'Cross-section'!H7</f>
        <v>0</v>
      </c>
      <c r="E15" s="136">
        <f>'Cross-section'!I7</f>
        <v>0</v>
      </c>
    </row>
    <row r="16" spans="2:5" ht="16.95" customHeight="1" x14ac:dyDescent="0.25">
      <c r="B16" s="40" t="s">
        <v>73</v>
      </c>
      <c r="C16" s="134">
        <f>'Cross-section'!G8</f>
        <v>0.66428571428571459</v>
      </c>
      <c r="D16" s="135">
        <f>'Cross-section'!H8</f>
        <v>0</v>
      </c>
      <c r="E16" s="136">
        <f>'Cross-section'!I8</f>
        <v>0</v>
      </c>
    </row>
    <row r="17" spans="2:5" ht="16.95" customHeight="1" x14ac:dyDescent="0.25">
      <c r="B17" s="40" t="s">
        <v>74</v>
      </c>
      <c r="C17" s="134">
        <f>'Cross-section'!G9</f>
        <v>10.537634408602147</v>
      </c>
      <c r="D17" s="135">
        <f>'Cross-section'!H9</f>
        <v>0</v>
      </c>
      <c r="E17" s="136">
        <f>'Cross-section'!I9</f>
        <v>0</v>
      </c>
    </row>
    <row r="18" spans="2:5" ht="16.95" customHeight="1" x14ac:dyDescent="0.25">
      <c r="B18" s="40" t="s">
        <v>75</v>
      </c>
      <c r="C18" s="134">
        <f>'Cross-section'!G10</f>
        <v>1.0999999999999943</v>
      </c>
      <c r="D18" s="135">
        <f>'Cross-section'!H10</f>
        <v>0</v>
      </c>
      <c r="E18" s="136">
        <f>'Cross-section'!I10</f>
        <v>0</v>
      </c>
    </row>
    <row r="19" spans="2:5" ht="16.95" customHeight="1" x14ac:dyDescent="0.25">
      <c r="B19" s="40" t="s">
        <v>76</v>
      </c>
      <c r="C19" s="134">
        <f>'Cross-section'!G11</f>
        <v>1.6559139784946144</v>
      </c>
      <c r="D19" s="135">
        <f>'Cross-section'!H11</f>
        <v>0</v>
      </c>
      <c r="E19" s="136">
        <f>'Cross-section'!I11</f>
        <v>0</v>
      </c>
    </row>
    <row r="20" spans="2:5" ht="16.95" customHeight="1" x14ac:dyDescent="0.25">
      <c r="B20" s="40" t="s">
        <v>25</v>
      </c>
      <c r="C20" s="134">
        <f>'Cross-section'!G12</f>
        <v>1.1000000000000001</v>
      </c>
      <c r="D20" s="135">
        <f>'Cross-section'!H12</f>
        <v>0</v>
      </c>
      <c r="E20" s="136">
        <f>'Cross-section'!I12</f>
        <v>0</v>
      </c>
    </row>
    <row r="21" spans="2:5" ht="16.95" customHeight="1" x14ac:dyDescent="0.25">
      <c r="B21" s="40" t="s">
        <v>77</v>
      </c>
      <c r="C21" s="134">
        <f>'Cross-section'!G13</f>
        <v>1.0000000000000053</v>
      </c>
      <c r="D21" s="135">
        <f>'Cross-section'!H13</f>
        <v>0</v>
      </c>
      <c r="E21" s="136">
        <f>'Cross-section'!I13</f>
        <v>0</v>
      </c>
    </row>
    <row r="22" spans="2:5" ht="16.95" customHeight="1" x14ac:dyDescent="0.25">
      <c r="B22" s="40" t="s">
        <v>78</v>
      </c>
      <c r="C22" s="134">
        <f>'Cross-section'!G14</f>
        <v>23</v>
      </c>
      <c r="D22" s="135">
        <f>'Cross-section'!H14</f>
        <v>0</v>
      </c>
      <c r="E22" s="136">
        <f>'Cross-section'!I14</f>
        <v>0</v>
      </c>
    </row>
    <row r="23" spans="2:5" ht="16.95" customHeight="1" thickBot="1" x14ac:dyDescent="0.3">
      <c r="B23" s="116" t="s">
        <v>79</v>
      </c>
      <c r="C23" s="134">
        <f>'Cross-section'!G15</f>
        <v>3.2857142857142856</v>
      </c>
      <c r="D23" s="135">
        <f>'Cross-section'!H15</f>
        <v>0</v>
      </c>
      <c r="E23" s="136">
        <f>'Cross-section'!I15</f>
        <v>0</v>
      </c>
    </row>
    <row r="24" spans="2:5" ht="16.95" customHeight="1" thickTop="1" x14ac:dyDescent="0.25">
      <c r="B24" s="117" t="s">
        <v>17</v>
      </c>
      <c r="C24" s="128" t="s">
        <v>54</v>
      </c>
      <c r="D24" s="129"/>
      <c r="E24" s="130"/>
    </row>
    <row r="25" spans="2:5" ht="16.95" customHeight="1" x14ac:dyDescent="0.25">
      <c r="B25" s="40" t="s">
        <v>80</v>
      </c>
      <c r="C25" s="131">
        <f>'Cross-section'!G18</f>
        <v>10.85557802641369</v>
      </c>
      <c r="D25" s="132">
        <f>'Cross-section'!H18</f>
        <v>0</v>
      </c>
      <c r="E25" s="133">
        <f>'Cross-section'!I18</f>
        <v>0</v>
      </c>
    </row>
    <row r="26" spans="2:5" ht="16.95" customHeight="1" x14ac:dyDescent="0.25">
      <c r="B26" s="40" t="s">
        <v>81</v>
      </c>
      <c r="C26" s="134">
        <f>'Cross-section'!G19</f>
        <v>2.3345329089061688</v>
      </c>
      <c r="D26" s="135">
        <f>'Cross-section'!H19</f>
        <v>0</v>
      </c>
      <c r="E26" s="136">
        <f>'Cross-section'!I19</f>
        <v>0</v>
      </c>
    </row>
    <row r="27" spans="2:5" ht="16.95" customHeight="1" x14ac:dyDescent="0.25">
      <c r="B27" s="40" t="s">
        <v>51</v>
      </c>
      <c r="C27" s="134">
        <f>'Cross-section'!G20</f>
        <v>0.41110147512864509</v>
      </c>
      <c r="D27" s="135">
        <f>'Cross-section'!H20</f>
        <v>0</v>
      </c>
      <c r="E27" s="136">
        <f>'Cross-section'!I20</f>
        <v>0</v>
      </c>
    </row>
    <row r="28" spans="2:5" ht="16.95" customHeight="1" x14ac:dyDescent="0.25">
      <c r="B28" s="40" t="s">
        <v>82</v>
      </c>
      <c r="C28" s="134">
        <f>'Cross-section'!G21</f>
        <v>0.95972992258769285</v>
      </c>
      <c r="D28" s="135">
        <f>'Cross-section'!H21</f>
        <v>0</v>
      </c>
      <c r="E28" s="136">
        <f>'Cross-section'!I21</f>
        <v>0</v>
      </c>
    </row>
    <row r="29" spans="2:5" ht="16.95" customHeight="1" x14ac:dyDescent="0.25">
      <c r="B29" s="15" t="s">
        <v>66</v>
      </c>
      <c r="C29" s="134">
        <f>'Cross-section'!G22</f>
        <v>33.398118989494897</v>
      </c>
      <c r="D29" s="135">
        <f>'Cross-section'!H22</f>
        <v>0</v>
      </c>
      <c r="E29" s="136">
        <f>'Cross-section'!I22</f>
        <v>0</v>
      </c>
    </row>
    <row r="30" spans="2:5" ht="16.95" customHeight="1" thickBot="1" x14ac:dyDescent="0.3">
      <c r="B30" s="15" t="s">
        <v>67</v>
      </c>
      <c r="C30" s="134">
        <f>'Cross-section'!G23</f>
        <v>100.87552086906075</v>
      </c>
      <c r="D30" s="135">
        <f>'Cross-section'!H23</f>
        <v>0</v>
      </c>
      <c r="E30" s="136">
        <f>'Cross-section'!I23</f>
        <v>0</v>
      </c>
    </row>
    <row r="31" spans="2:5" ht="16.95" customHeight="1" thickTop="1" x14ac:dyDescent="0.25">
      <c r="B31" s="126" t="s">
        <v>17</v>
      </c>
      <c r="C31" s="123" t="s">
        <v>57</v>
      </c>
      <c r="D31" s="124"/>
      <c r="E31" s="125"/>
    </row>
    <row r="32" spans="2:5" ht="16.95" customHeight="1" thickBot="1" x14ac:dyDescent="0.3">
      <c r="B32" s="127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6" t="s">
        <v>17</v>
      </c>
      <c r="C39" s="123" t="s">
        <v>58</v>
      </c>
      <c r="D39" s="124"/>
      <c r="E39" s="125"/>
    </row>
    <row r="40" spans="2:5" ht="16.95" customHeight="1" thickBot="1" x14ac:dyDescent="0.3">
      <c r="B40" s="127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J12" sqref="J1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5" t="s">
        <v>17</v>
      </c>
      <c r="C5" s="166"/>
      <c r="D5" s="166"/>
      <c r="E5" s="166"/>
      <c r="F5" s="167"/>
      <c r="G5" s="165" t="s">
        <v>64</v>
      </c>
      <c r="H5" s="166"/>
      <c r="I5" s="167"/>
      <c r="K5" s="5"/>
      <c r="L5" s="5"/>
    </row>
    <row r="6" spans="2:12" ht="16.5" customHeight="1" x14ac:dyDescent="0.25">
      <c r="B6" s="162" t="s">
        <v>71</v>
      </c>
      <c r="C6" s="163"/>
      <c r="D6" s="163"/>
      <c r="E6" s="163"/>
      <c r="F6" s="164"/>
      <c r="G6" s="168">
        <f>K30</f>
        <v>4.6500000000000021</v>
      </c>
      <c r="H6" s="169"/>
      <c r="I6" s="170"/>
      <c r="K6" s="5"/>
      <c r="L6" s="5"/>
    </row>
    <row r="7" spans="2:12" ht="16.5" customHeight="1" x14ac:dyDescent="0.25">
      <c r="B7" s="162" t="s">
        <v>72</v>
      </c>
      <c r="C7" s="163"/>
      <c r="D7" s="163"/>
      <c r="E7" s="163"/>
      <c r="F7" s="164"/>
      <c r="G7" s="168">
        <f t="shared" ref="G7:G15" si="0">K31</f>
        <v>7</v>
      </c>
      <c r="H7" s="169"/>
      <c r="I7" s="170"/>
      <c r="J7" s="12"/>
      <c r="K7" s="5"/>
      <c r="L7" s="5"/>
    </row>
    <row r="8" spans="2:12" ht="16.5" customHeight="1" x14ac:dyDescent="0.25">
      <c r="B8" s="162" t="s">
        <v>73</v>
      </c>
      <c r="C8" s="163"/>
      <c r="D8" s="163"/>
      <c r="E8" s="163"/>
      <c r="F8" s="164"/>
      <c r="G8" s="168">
        <f t="shared" si="0"/>
        <v>0.66428571428571459</v>
      </c>
      <c r="H8" s="169"/>
      <c r="I8" s="170"/>
      <c r="J8" s="12"/>
      <c r="K8" s="5"/>
      <c r="L8" s="5"/>
    </row>
    <row r="9" spans="2:12" ht="16.5" customHeight="1" x14ac:dyDescent="0.25">
      <c r="B9" s="162" t="s">
        <v>74</v>
      </c>
      <c r="C9" s="163"/>
      <c r="D9" s="163"/>
      <c r="E9" s="163"/>
      <c r="F9" s="164"/>
      <c r="G9" s="168">
        <f t="shared" si="0"/>
        <v>10.537634408602147</v>
      </c>
      <c r="H9" s="169"/>
      <c r="I9" s="170"/>
      <c r="J9" s="12"/>
      <c r="K9" s="5"/>
      <c r="L9" s="5"/>
    </row>
    <row r="10" spans="2:12" ht="16.5" customHeight="1" x14ac:dyDescent="0.25">
      <c r="B10" s="162" t="s">
        <v>75</v>
      </c>
      <c r="C10" s="163"/>
      <c r="D10" s="163"/>
      <c r="E10" s="163"/>
      <c r="F10" s="164"/>
      <c r="G10" s="168">
        <f t="shared" si="0"/>
        <v>1.0999999999999943</v>
      </c>
      <c r="H10" s="169"/>
      <c r="I10" s="170"/>
      <c r="J10" s="12"/>
      <c r="K10" s="5"/>
      <c r="L10" s="5"/>
    </row>
    <row r="11" spans="2:12" ht="16.5" customHeight="1" x14ac:dyDescent="0.25">
      <c r="B11" s="162" t="s">
        <v>76</v>
      </c>
      <c r="C11" s="163"/>
      <c r="D11" s="163"/>
      <c r="E11" s="163"/>
      <c r="F11" s="164"/>
      <c r="G11" s="168">
        <f t="shared" si="0"/>
        <v>1.6559139784946144</v>
      </c>
      <c r="H11" s="169"/>
      <c r="I11" s="170"/>
      <c r="J11" s="12"/>
      <c r="K11" s="5"/>
      <c r="L11" s="5"/>
    </row>
    <row r="12" spans="2:12" ht="16.5" customHeight="1" x14ac:dyDescent="0.25">
      <c r="B12" s="174" t="s">
        <v>25</v>
      </c>
      <c r="C12" s="175"/>
      <c r="D12" s="175"/>
      <c r="E12" s="175"/>
      <c r="F12" s="176"/>
      <c r="G12" s="168">
        <f t="shared" si="0"/>
        <v>1.1000000000000001</v>
      </c>
      <c r="H12" s="169"/>
      <c r="I12" s="170"/>
      <c r="J12" s="12"/>
      <c r="K12" s="5"/>
      <c r="L12" s="5"/>
    </row>
    <row r="13" spans="2:12" ht="16.5" customHeight="1" x14ac:dyDescent="0.25">
      <c r="B13" s="174" t="s">
        <v>77</v>
      </c>
      <c r="C13" s="175"/>
      <c r="D13" s="175"/>
      <c r="E13" s="175"/>
      <c r="F13" s="176"/>
      <c r="G13" s="168">
        <f t="shared" si="0"/>
        <v>1.0000000000000053</v>
      </c>
      <c r="H13" s="169"/>
      <c r="I13" s="170"/>
      <c r="J13" s="12"/>
      <c r="K13" s="5"/>
      <c r="L13" s="5"/>
    </row>
    <row r="14" spans="2:12" ht="16.5" customHeight="1" x14ac:dyDescent="0.25">
      <c r="B14" s="171" t="s">
        <v>78</v>
      </c>
      <c r="C14" s="172"/>
      <c r="D14" s="172"/>
      <c r="E14" s="172"/>
      <c r="F14" s="173"/>
      <c r="G14" s="168">
        <f t="shared" si="0"/>
        <v>23</v>
      </c>
      <c r="H14" s="169"/>
      <c r="I14" s="170"/>
      <c r="J14" s="12"/>
      <c r="K14" s="5"/>
      <c r="L14" s="5"/>
    </row>
    <row r="15" spans="2:12" ht="16.5" customHeight="1" x14ac:dyDescent="0.25">
      <c r="B15" s="162" t="s">
        <v>79</v>
      </c>
      <c r="C15" s="163"/>
      <c r="D15" s="163"/>
      <c r="E15" s="163"/>
      <c r="F15" s="164"/>
      <c r="G15" s="168">
        <f t="shared" si="0"/>
        <v>3.2857142857142856</v>
      </c>
      <c r="H15" s="169"/>
      <c r="I15" s="17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5" t="s">
        <v>17</v>
      </c>
      <c r="C17" s="166"/>
      <c r="D17" s="166"/>
      <c r="E17" s="166"/>
      <c r="F17" s="167"/>
      <c r="G17" s="165" t="s">
        <v>54</v>
      </c>
      <c r="H17" s="166"/>
      <c r="I17" s="167"/>
      <c r="K17" s="5"/>
      <c r="L17" s="5"/>
    </row>
    <row r="18" spans="2:12" ht="16.5" customHeight="1" x14ac:dyDescent="0.25">
      <c r="B18" s="162" t="s">
        <v>80</v>
      </c>
      <c r="C18" s="163"/>
      <c r="D18" s="163"/>
      <c r="E18" s="163"/>
      <c r="F18" s="164"/>
      <c r="G18" s="131">
        <f>K44</f>
        <v>10.85557802641369</v>
      </c>
      <c r="H18" s="132"/>
      <c r="I18" s="133"/>
      <c r="K18" s="5"/>
      <c r="L18" s="5"/>
    </row>
    <row r="19" spans="2:12" ht="16.5" customHeight="1" x14ac:dyDescent="0.25">
      <c r="B19" s="162" t="s">
        <v>81</v>
      </c>
      <c r="C19" s="163"/>
      <c r="D19" s="163"/>
      <c r="E19" s="163"/>
      <c r="F19" s="164"/>
      <c r="G19" s="134">
        <f t="shared" ref="G19:G23" si="1">K45</f>
        <v>2.3345329089061688</v>
      </c>
      <c r="H19" s="135"/>
      <c r="I19" s="136"/>
      <c r="K19" s="5"/>
      <c r="L19" s="5"/>
    </row>
    <row r="20" spans="2:12" ht="16.5" customHeight="1" x14ac:dyDescent="0.25">
      <c r="B20" s="162" t="s">
        <v>82</v>
      </c>
      <c r="C20" s="163"/>
      <c r="D20" s="163"/>
      <c r="E20" s="163"/>
      <c r="F20" s="164"/>
      <c r="G20" s="134">
        <f t="shared" si="1"/>
        <v>0.41110147512864509</v>
      </c>
      <c r="H20" s="135"/>
      <c r="I20" s="136"/>
      <c r="J20" s="2"/>
      <c r="K20" s="5"/>
      <c r="L20" s="5"/>
    </row>
    <row r="21" spans="2:12" ht="16.5" customHeight="1" x14ac:dyDescent="0.25">
      <c r="B21" s="162" t="s">
        <v>49</v>
      </c>
      <c r="C21" s="163"/>
      <c r="D21" s="163"/>
      <c r="E21" s="163"/>
      <c r="F21" s="164"/>
      <c r="G21" s="134">
        <f t="shared" si="1"/>
        <v>0.95972992258769285</v>
      </c>
      <c r="H21" s="135"/>
      <c r="I21" s="136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31">
        <f t="shared" si="1"/>
        <v>33.398118989494897</v>
      </c>
      <c r="H22" s="132"/>
      <c r="I22" s="133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31">
        <f t="shared" si="1"/>
        <v>100.87552086906075</v>
      </c>
      <c r="H23" s="132"/>
      <c r="I23" s="133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0</v>
      </c>
      <c r="D29" s="122"/>
      <c r="E29" s="30">
        <v>100</v>
      </c>
      <c r="F29" s="31"/>
      <c r="G29" s="32"/>
      <c r="H29" s="31"/>
      <c r="J29" s="33" t="s">
        <v>15</v>
      </c>
      <c r="K29" s="34">
        <f>LOOKUP("LBKF",B29:E50)</f>
        <v>100</v>
      </c>
      <c r="L29" s="35"/>
    </row>
    <row r="30" spans="2:12" ht="16.5" customHeight="1" x14ac:dyDescent="0.25">
      <c r="B30" s="120" t="s">
        <v>2</v>
      </c>
      <c r="C30" s="121">
        <v>5</v>
      </c>
      <c r="D30" s="122"/>
      <c r="E30" s="30">
        <v>100</v>
      </c>
      <c r="F30" s="31">
        <f t="shared" ref="F30" si="2">IF(E30&gt;0,IF(E30&lt;K$29,K$29-E30,0),0)</f>
        <v>0</v>
      </c>
      <c r="G30" s="32">
        <f t="shared" ref="G30" si="3">IF(E30&gt;0,IF(E30&lt;=K$29,C30-C29,0),0)</f>
        <v>5</v>
      </c>
      <c r="H30" s="31">
        <f t="shared" ref="H30" si="4">IF(E30&lt;=K$29,G30*(F29+F30)/2,0)</f>
        <v>0</v>
      </c>
      <c r="J30" s="37" t="s">
        <v>71</v>
      </c>
      <c r="K30" s="11">
        <f>SUM(H29:H50)</f>
        <v>4.6500000000000021</v>
      </c>
      <c r="L30" s="35"/>
    </row>
    <row r="31" spans="2:12" ht="16.5" customHeight="1" x14ac:dyDescent="0.25">
      <c r="B31" s="120"/>
      <c r="C31" s="121">
        <v>6.5</v>
      </c>
      <c r="D31" s="122"/>
      <c r="E31" s="30">
        <v>99.8</v>
      </c>
      <c r="F31" s="31">
        <f t="shared" ref="F31" si="5">IF(E31&gt;0,IF(E31&lt;K$29,K$29-E31,0),0)</f>
        <v>0.20000000000000284</v>
      </c>
      <c r="G31" s="32">
        <f t="shared" ref="G31" si="6">IF(E31&gt;0,IF(E31&lt;=K$29,C31-C30,0),0)</f>
        <v>1.5</v>
      </c>
      <c r="H31" s="31">
        <f t="shared" ref="H31" si="7">IF(E31&lt;=K$29,G31*(F30+F31)/2,0)</f>
        <v>0.15000000000000213</v>
      </c>
      <c r="J31" s="37" t="s">
        <v>72</v>
      </c>
      <c r="K31" s="11">
        <f>LOOKUP("RBKF",B29:C50)-LOOKUP("LBKF",B29:C50)</f>
        <v>7</v>
      </c>
      <c r="L31" s="35"/>
    </row>
    <row r="32" spans="2:12" ht="16.5" customHeight="1" x14ac:dyDescent="0.25">
      <c r="B32" s="120"/>
      <c r="C32" s="121">
        <v>7.5</v>
      </c>
      <c r="D32" s="122"/>
      <c r="E32" s="30">
        <v>99</v>
      </c>
      <c r="F32" s="31">
        <f t="shared" ref="F32:F38" si="8">IF(E32&gt;0,IF(E32&lt;K$29,K$29-E32,0),0)</f>
        <v>1</v>
      </c>
      <c r="G32" s="32">
        <f t="shared" ref="G32:G38" si="9">IF(E32&gt;0,IF(E32&lt;=K$29,C32-C31,0),0)</f>
        <v>1</v>
      </c>
      <c r="H32" s="31">
        <f t="shared" ref="H32:H38" si="10">IF(E32&lt;=K$29,G32*(F31+F32)/2,0)</f>
        <v>0.60000000000000142</v>
      </c>
      <c r="J32" s="37" t="s">
        <v>73</v>
      </c>
      <c r="K32" s="11">
        <f>K30/K31</f>
        <v>0.66428571428571459</v>
      </c>
      <c r="L32" s="35"/>
    </row>
    <row r="33" spans="2:13" ht="16.5" customHeight="1" x14ac:dyDescent="0.25">
      <c r="B33" s="120"/>
      <c r="C33" s="121">
        <v>8.5</v>
      </c>
      <c r="D33" s="122"/>
      <c r="E33" s="30">
        <v>98.9</v>
      </c>
      <c r="F33" s="31">
        <f t="shared" si="8"/>
        <v>1.0999999999999943</v>
      </c>
      <c r="G33" s="32">
        <f t="shared" si="9"/>
        <v>1</v>
      </c>
      <c r="H33" s="31">
        <f t="shared" si="10"/>
        <v>1.0499999999999972</v>
      </c>
      <c r="J33" s="37" t="s">
        <v>74</v>
      </c>
      <c r="K33" s="38">
        <f>K31/K32</f>
        <v>10.537634408602147</v>
      </c>
      <c r="L33" s="35"/>
    </row>
    <row r="34" spans="2:13" ht="16.5" customHeight="1" x14ac:dyDescent="0.25">
      <c r="B34" s="120"/>
      <c r="C34" s="121">
        <v>10</v>
      </c>
      <c r="D34" s="122"/>
      <c r="E34" s="30">
        <v>99</v>
      </c>
      <c r="F34" s="31">
        <f t="shared" si="8"/>
        <v>1</v>
      </c>
      <c r="G34" s="32">
        <f t="shared" si="9"/>
        <v>1.5</v>
      </c>
      <c r="H34" s="31">
        <f t="shared" si="10"/>
        <v>1.5749999999999957</v>
      </c>
      <c r="J34" s="37" t="s">
        <v>75</v>
      </c>
      <c r="K34" s="11">
        <f>MAX(F29:F50)</f>
        <v>1.0999999999999943</v>
      </c>
      <c r="L34" s="35"/>
    </row>
    <row r="35" spans="2:13" ht="16.5" customHeight="1" x14ac:dyDescent="0.25">
      <c r="B35" s="120"/>
      <c r="C35" s="121">
        <v>11</v>
      </c>
      <c r="D35" s="122"/>
      <c r="E35" s="30">
        <v>99.1</v>
      </c>
      <c r="F35" s="31">
        <f t="shared" si="8"/>
        <v>0.90000000000000568</v>
      </c>
      <c r="G35" s="32">
        <f t="shared" si="9"/>
        <v>1</v>
      </c>
      <c r="H35" s="31">
        <f t="shared" si="10"/>
        <v>0.95000000000000284</v>
      </c>
      <c r="J35" s="37" t="s">
        <v>76</v>
      </c>
      <c r="K35" s="39">
        <f>K34/K32</f>
        <v>1.6559139784946144</v>
      </c>
      <c r="L35" s="35"/>
    </row>
    <row r="36" spans="2:13" ht="16.5" customHeight="1" x14ac:dyDescent="0.25">
      <c r="B36" s="120"/>
      <c r="C36" s="121">
        <v>11.5</v>
      </c>
      <c r="D36" s="122"/>
      <c r="E36" s="30">
        <v>99.8</v>
      </c>
      <c r="F36" s="31">
        <f t="shared" si="8"/>
        <v>0.20000000000000284</v>
      </c>
      <c r="G36" s="32">
        <f t="shared" si="9"/>
        <v>0.5</v>
      </c>
      <c r="H36" s="31">
        <f t="shared" si="10"/>
        <v>0.27500000000000213</v>
      </c>
      <c r="J36" s="40" t="s">
        <v>25</v>
      </c>
      <c r="K36" s="41">
        <v>1.1000000000000001</v>
      </c>
      <c r="L36" s="35"/>
    </row>
    <row r="37" spans="2:13" ht="16.5" customHeight="1" x14ac:dyDescent="0.25">
      <c r="B37" s="120" t="s">
        <v>3</v>
      </c>
      <c r="C37" s="121">
        <v>12</v>
      </c>
      <c r="D37" s="122"/>
      <c r="E37" s="30">
        <v>100</v>
      </c>
      <c r="F37" s="31">
        <f t="shared" si="8"/>
        <v>0</v>
      </c>
      <c r="G37" s="32">
        <f t="shared" si="9"/>
        <v>0.5</v>
      </c>
      <c r="H37" s="31">
        <f t="shared" si="10"/>
        <v>5.0000000000000711E-2</v>
      </c>
      <c r="J37" s="40" t="s">
        <v>77</v>
      </c>
      <c r="K37" s="42">
        <f>+K36/K34</f>
        <v>1.0000000000000053</v>
      </c>
      <c r="L37" s="35"/>
    </row>
    <row r="38" spans="2:13" ht="16.5" customHeight="1" x14ac:dyDescent="0.25">
      <c r="B38" s="120"/>
      <c r="C38" s="121">
        <v>17</v>
      </c>
      <c r="D38" s="122"/>
      <c r="E38" s="30">
        <v>100</v>
      </c>
      <c r="F38" s="31">
        <f t="shared" si="8"/>
        <v>0</v>
      </c>
      <c r="G38" s="32">
        <f t="shared" si="9"/>
        <v>5</v>
      </c>
      <c r="H38" s="31">
        <f t="shared" si="10"/>
        <v>0</v>
      </c>
      <c r="J38" s="43" t="s">
        <v>78</v>
      </c>
      <c r="K38" s="44">
        <v>23</v>
      </c>
      <c r="L38" s="35"/>
    </row>
    <row r="39" spans="2:13" ht="16.5" customHeight="1" x14ac:dyDescent="0.25">
      <c r="B39" s="120"/>
      <c r="C39" s="121"/>
      <c r="D39" s="122"/>
      <c r="E39" s="30"/>
      <c r="F39" s="31"/>
      <c r="G39" s="32"/>
      <c r="H39" s="31"/>
      <c r="J39" s="37" t="s">
        <v>79</v>
      </c>
      <c r="K39" s="11">
        <f>K38/K31</f>
        <v>3.2857142857142856</v>
      </c>
      <c r="L39" s="35"/>
    </row>
    <row r="40" spans="2:13" ht="16.5" customHeight="1" x14ac:dyDescent="0.25">
      <c r="B40" s="120"/>
      <c r="C40" s="121"/>
      <c r="D40" s="122"/>
      <c r="E40" s="30"/>
      <c r="F40" s="31"/>
      <c r="G40" s="32"/>
      <c r="H40" s="31"/>
      <c r="J40" s="37" t="s">
        <v>8</v>
      </c>
      <c r="K40" s="109">
        <f>+'Longitudinal Profile'!$H$9</f>
        <v>1.18E-2</v>
      </c>
      <c r="L40" s="45"/>
    </row>
    <row r="41" spans="2:13" ht="16.5" customHeight="1" x14ac:dyDescent="0.25">
      <c r="B41" s="120"/>
      <c r="C41" s="121"/>
      <c r="D41" s="122"/>
      <c r="E41" s="30"/>
      <c r="F41" s="31"/>
      <c r="G41" s="32"/>
      <c r="H41" s="31"/>
      <c r="J41" s="37" t="s">
        <v>10</v>
      </c>
      <c r="K41" s="46">
        <v>4.7E-2</v>
      </c>
      <c r="L41" s="45"/>
    </row>
    <row r="42" spans="2:13" ht="16.5" customHeight="1" x14ac:dyDescent="0.25">
      <c r="B42" s="120"/>
      <c r="C42" s="121"/>
      <c r="D42" s="122"/>
      <c r="E42" s="30"/>
      <c r="F42" s="31"/>
      <c r="G42" s="32"/>
      <c r="H42" s="31"/>
      <c r="J42" s="37" t="s">
        <v>27</v>
      </c>
      <c r="K42" s="14">
        <f>K31+2*K32</f>
        <v>8.3285714285714292</v>
      </c>
      <c r="L42" s="47"/>
      <c r="M42" s="47"/>
    </row>
    <row r="43" spans="2:13" ht="16.5" customHeight="1" x14ac:dyDescent="0.25">
      <c r="B43" s="120"/>
      <c r="C43" s="121"/>
      <c r="D43" s="122"/>
      <c r="E43" s="30"/>
      <c r="F43" s="31"/>
      <c r="G43" s="32"/>
      <c r="H43" s="31"/>
      <c r="J43" s="37" t="s">
        <v>9</v>
      </c>
      <c r="K43" s="14">
        <f>K30/K42</f>
        <v>0.55831903945111516</v>
      </c>
      <c r="L43" s="47"/>
      <c r="M43" s="47"/>
    </row>
    <row r="44" spans="2:13" ht="16.5" customHeight="1" x14ac:dyDescent="0.25">
      <c r="B44" s="120"/>
      <c r="C44" s="121"/>
      <c r="D44" s="122"/>
      <c r="E44" s="30"/>
      <c r="F44" s="31"/>
      <c r="G44" s="32"/>
      <c r="H44" s="31"/>
      <c r="J44" s="37" t="s">
        <v>80</v>
      </c>
      <c r="K44" s="14">
        <f>K30*1.49*(K43^0.667)*(K40^0.5)/K41</f>
        <v>10.85557802641369</v>
      </c>
    </row>
    <row r="45" spans="2:13" ht="16.5" customHeight="1" x14ac:dyDescent="0.25">
      <c r="B45" s="120"/>
      <c r="C45" s="121"/>
      <c r="D45" s="122"/>
      <c r="E45" s="30"/>
      <c r="F45" s="31"/>
      <c r="G45" s="32"/>
      <c r="H45" s="31"/>
      <c r="J45" s="37" t="s">
        <v>81</v>
      </c>
      <c r="K45" s="14">
        <f>K44/K30</f>
        <v>2.3345329089061688</v>
      </c>
    </row>
    <row r="46" spans="2:13" ht="16.5" customHeight="1" x14ac:dyDescent="0.25">
      <c r="B46" s="120"/>
      <c r="C46" s="121"/>
      <c r="D46" s="122"/>
      <c r="E46" s="30"/>
      <c r="F46" s="31"/>
      <c r="G46" s="32"/>
      <c r="H46" s="31"/>
      <c r="J46" s="37" t="s">
        <v>82</v>
      </c>
      <c r="K46" s="42">
        <f>62.4*K43*K40</f>
        <v>0.41110147512864509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0.95972992258769285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33.398118989494897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100.87552086906075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2" sqref="D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80" t="s">
        <v>17</v>
      </c>
      <c r="K5" s="181"/>
      <c r="L5" s="184" t="s">
        <v>47</v>
      </c>
      <c r="M5" s="185"/>
      <c r="N5" s="185"/>
      <c r="O5" s="185"/>
      <c r="P5" s="185"/>
      <c r="Q5" s="185"/>
      <c r="R5" s="185"/>
      <c r="S5" s="186"/>
      <c r="T5" s="179" t="s">
        <v>34</v>
      </c>
      <c r="U5" s="179"/>
      <c r="V5" s="179"/>
    </row>
    <row r="6" spans="2:22" ht="16.5" customHeight="1" thickTop="1" thickBot="1" x14ac:dyDescent="0.35">
      <c r="B6" s="71" t="s">
        <v>12</v>
      </c>
      <c r="C6" s="72">
        <f>C15</f>
        <v>0</v>
      </c>
      <c r="D6" s="73">
        <f>G15</f>
        <v>0</v>
      </c>
      <c r="F6" s="182" t="s">
        <v>28</v>
      </c>
      <c r="G6" s="183"/>
      <c r="H6" s="74"/>
      <c r="I6" s="70"/>
      <c r="J6" s="181"/>
      <c r="K6" s="181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f>C30</f>
        <v>0</v>
      </c>
      <c r="D7" s="73">
        <f>G30</f>
        <v>0</v>
      </c>
      <c r="F7" s="76" t="s">
        <v>29</v>
      </c>
      <c r="G7" s="77"/>
      <c r="H7" s="39"/>
      <c r="I7" s="67"/>
      <c r="J7" s="180" t="s">
        <v>85</v>
      </c>
      <c r="K7" s="180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/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80">
        <v>1.18E-2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1.3098E-2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7" t="s">
        <v>33</v>
      </c>
      <c r="G11" s="178"/>
      <c r="H11" s="31">
        <v>1.1100000000000001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80" t="s">
        <v>17</v>
      </c>
      <c r="C5" s="184" t="s">
        <v>35</v>
      </c>
      <c r="D5" s="185"/>
      <c r="E5" s="185"/>
      <c r="F5" s="185"/>
      <c r="G5" s="185"/>
      <c r="H5" s="179" t="s">
        <v>34</v>
      </c>
      <c r="I5" s="179"/>
      <c r="J5" s="179"/>
    </row>
    <row r="6" spans="2:10" ht="16.5" customHeight="1" thickBot="1" x14ac:dyDescent="0.3">
      <c r="B6" s="187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