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 l="1"/>
  <c r="K29" i="81" l="1"/>
  <c r="K31" i="81"/>
  <c r="K40" i="81"/>
  <c r="G12" i="81"/>
  <c r="C20" i="73" s="1"/>
  <c r="G14" i="81"/>
  <c r="C22" i="73" s="1"/>
  <c r="G15" i="81"/>
  <c r="C23" i="73" s="1"/>
  <c r="L30" i="70"/>
  <c r="L23" i="70"/>
  <c r="M30" i="70"/>
  <c r="N30" i="70"/>
  <c r="U8" i="70"/>
  <c r="D41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D48" i="73" l="1"/>
  <c r="C48" i="73"/>
  <c r="F30" i="81"/>
  <c r="G31" i="81"/>
  <c r="G33" i="81"/>
  <c r="G36" i="81"/>
  <c r="H36" i="81" s="1"/>
  <c r="F38" i="81"/>
  <c r="F36" i="81"/>
  <c r="G30" i="81"/>
  <c r="H30" i="81" s="1"/>
  <c r="F32" i="81"/>
  <c r="F35" i="81"/>
  <c r="F37" i="81"/>
  <c r="G38" i="81"/>
  <c r="F33" i="81"/>
  <c r="H37" i="81"/>
  <c r="G32" i="81"/>
  <c r="F34" i="81"/>
  <c r="G35" i="81"/>
  <c r="G37" i="81"/>
  <c r="H38" i="81"/>
  <c r="F31" i="81"/>
  <c r="H31" i="81" s="1"/>
  <c r="G34" i="81"/>
  <c r="G39" i="81"/>
  <c r="F39" i="81"/>
  <c r="G7" i="81"/>
  <c r="C15" i="73" s="1"/>
  <c r="H39" i="81"/>
  <c r="H34" i="81" l="1"/>
  <c r="H33" i="81"/>
  <c r="H35" i="81"/>
  <c r="H32" i="81"/>
  <c r="K34" i="81"/>
  <c r="K37" i="81" s="1"/>
  <c r="G13" i="81" s="1"/>
  <c r="C21" i="73" s="1"/>
  <c r="G10" i="81" l="1"/>
  <c r="C18" i="73" s="1"/>
  <c r="K30" i="81"/>
  <c r="G6" i="81" s="1"/>
  <c r="C14" i="73" s="1"/>
  <c r="K32" i="81" l="1"/>
  <c r="K35" i="81" s="1"/>
  <c r="G11" i="81" s="1"/>
  <c r="C19" i="73" s="1"/>
  <c r="G8" i="81" l="1"/>
  <c r="C16" i="73" s="1"/>
  <c r="K33" i="81"/>
  <c r="G9" i="81" s="1"/>
  <c r="C17" i="73" s="1"/>
  <c r="K42" i="81"/>
  <c r="K43" i="81" s="1"/>
  <c r="K46" i="81" s="1"/>
  <c r="K48" i="81" s="1"/>
  <c r="G22" i="81" s="1"/>
  <c r="C29" i="73" s="1"/>
  <c r="K44" i="81"/>
  <c r="K45" i="81" s="1"/>
  <c r="G20" i="81" l="1"/>
  <c r="C27" i="73" s="1"/>
  <c r="K49" i="81"/>
  <c r="G23" i="81" s="1"/>
  <c r="C30" i="73" s="1"/>
  <c r="G19" i="81"/>
  <c r="C26" i="73" s="1"/>
  <c r="K47" i="81"/>
  <c r="G21" i="81" s="1"/>
  <c r="C28" i="73" s="1"/>
  <c r="G18" i="81"/>
  <c r="C25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<sst xmlns="http://schemas.openxmlformats.org/spreadsheetml/2006/main" count="172" uniqueCount="111">
  <si>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</si>
  <si>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</si>
  <si>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</si>
  <si>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</si>
  <si>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</si>
  <si>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</si>
  <si>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</si>
  <si>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</si>
  <si>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</si>
  <si>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</si>
  <si>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</si>
  <si>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</si>
  <si>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</si>
  <si>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</si>
  <si>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</si>
  <si>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</si>
  <si>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</si>
  <si>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</si>
  <si>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</si>
  <si>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</si>
  <si>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</si>
  <si>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</si>
  <si>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</si>
  <si>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</si>
  <si>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</si>
  <si>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</si>
  <si>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</si>
  <si>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</si>
  <si>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</si>
  <si>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</si>
  <si>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</si>
  <si>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</si>
  <si>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</si>
  <si>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</si>
  <si>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</si>
  <si>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</si>
  <si>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</si>
  <si>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</si>
  <si>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</si>
  <si>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</si>
  <si>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</si>
  <si>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</si>
  <si>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</si>
  <si>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</si>
  <si>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</si>
  <si>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</si>
  <si>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</si>
  <si>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</si>
  <si>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</si>
  <si>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</si>
  <si>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</si>
  <si>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</si>
  <si>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</si>
  <si>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</si>
  <si>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</si>
  <si>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</si>
  <si>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</si>
  <si>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</si>
  <si>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</si>
  <si>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</si>
  <si>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</si>
  <si>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</si>
  <si>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</si>
  <si>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</si>
  <si>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</si>
  <si>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</si>
  <si>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</si>
  <si>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</si>
  <si>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</si>
  <si>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</si>
  <si>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</si>
  <si>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</si>
  <si>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</si>
  <si>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</si>
  <si>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</si>
  <si>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</si>
  <si>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</si>
  <si>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</si>
  <si>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</si>
  <si>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</si>
  <si>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</si>
  <si>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</si>
  <si>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</si>
  <si>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</si>
  <si>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</si>
  <si>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</si>
  <si>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</si>
  <si>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</si>
  <si>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</si>
  <si>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</si>
  <si>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</si>
  <si>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</si>
  <si>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</si>
  <si>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</si>
  <si>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</si>
  <si>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</si>
  <si>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</si>
  <si>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</si>
  <si>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</si>
  <si>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</si>
  <si>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</si>
  <si>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</si>
  <si>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</si>
  <si>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</si>
  <si>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Juniper Bay, SCDNR Fish Site</t>
  </si>
  <si>
    <t>33.864485, -79.187739</t>
  </si>
  <si>
    <t>Juniper Bay</t>
  </si>
  <si>
    <t>sand</t>
  </si>
  <si>
    <t>&gt;131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</si>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</sst>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11.85</c:v>
                </c:pt>
                <c:pt idx="2">
                  <c:v>14.04</c:v>
                </c:pt>
                <c:pt idx="3">
                  <c:v>18.03</c:v>
                </c:pt>
                <c:pt idx="4">
                  <c:v>22.1</c:v>
                </c:pt>
                <c:pt idx="5">
                  <c:v>23.98</c:v>
                </c:pt>
                <c:pt idx="6">
                  <c:v>24.65</c:v>
                </c:pt>
                <c:pt idx="7">
                  <c:v>24.9</c:v>
                </c:pt>
                <c:pt idx="8">
                  <c:v>25.28</c:v>
                </c:pt>
                <c:pt idx="9">
                  <c:v>28.93</c:v>
                </c:pt>
                <c:pt idx="10">
                  <c:v>55.9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99.55</c:v>
                </c:pt>
                <c:pt idx="1">
                  <c:v>99.63</c:v>
                </c:pt>
                <c:pt idx="2">
                  <c:v>98.26</c:v>
                </c:pt>
                <c:pt idx="3">
                  <c:v>97.97</c:v>
                </c:pt>
                <c:pt idx="4">
                  <c:v>98.57</c:v>
                </c:pt>
                <c:pt idx="5">
                  <c:v>99.02</c:v>
                </c:pt>
                <c:pt idx="6">
                  <c:v>99.5</c:v>
                </c:pt>
                <c:pt idx="7">
                  <c:v>99.63</c:v>
                </c:pt>
                <c:pt idx="8">
                  <c:v>99.9</c:v>
                </c:pt>
                <c:pt idx="9">
                  <c:v>99.73</c:v>
                </c:pt>
                <c:pt idx="10">
                  <c:v>99.73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218120"/>
        <c:axId val="334169424"/>
      </c:scatterChart>
      <c:valAx>
        <c:axId val="3332181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4169424"/>
        <c:crosses val="autoZero"/>
        <c:crossBetween val="midCat"/>
      </c:valAx>
      <c:valAx>
        <c:axId val="334169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321812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171776"/>
        <c:axId val="33417608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4171776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4176088"/>
        <c:crosses val="autoZero"/>
        <c:crossBetween val="midCat"/>
        <c:minorUnit val="25"/>
      </c:valAx>
      <c:valAx>
        <c:axId val="33417608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4171776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7" sqref="B7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2.09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1.2965964343598054E-3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1.06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123.4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14.914149999999962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13.049999999999999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1.1428467432950162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11.418853907195544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1.6599999999999966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1.4525132173137598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1.66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1.000000000000002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&gt;131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13.090672540508432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0.87773507310228649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7.8683650312468573E-2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6.9063399558969354E-2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6.3923047584329256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19.307287103909111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3" sqref="H3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14.914149999999962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13.049999999999999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1.1428467432950162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11.418853907195544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1.6599999999999966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1.4525132173137598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1.66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1.000000000000002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&gt;131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13.090672540508432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0.87773507310228649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7.8683650312468573E-2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6.9063399558969354E-2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6.3923047584329256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19.307287103909111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99.55</v>
      </c>
      <c r="F29" s="31"/>
      <c r="G29" s="32"/>
      <c r="H29" s="31"/>
      <c r="J29" s="33" t="s">
        <v>15</v>
      </c>
      <c r="K29" s="34">
        <f>LOOKUP("LBKF",B29:E51)</f>
        <v>99.63</v>
      </c>
      <c r="L29" s="35"/>
    </row>
    <row r="30" spans="2:12" ht="16.5" customHeight="1" x14ac:dyDescent="0.25">
      <c r="B30" s="119" t="s">
        <v>2</v>
      </c>
      <c r="C30" s="120">
        <v>11.85</v>
      </c>
      <c r="D30" s="121"/>
      <c r="E30" s="30">
        <v>99.63</v>
      </c>
      <c r="F30" s="31">
        <f t="shared" ref="F30:F38" si="2">IF(E30&gt;0,IF(E30&lt;K$29,K$29-E30,0),0)</f>
        <v>0</v>
      </c>
      <c r="G30" s="32">
        <f t="shared" ref="G30:G38" si="3">IF(E30&gt;0,IF(E30&lt;=K$29,C30-C29,0),0)</f>
        <v>11.85</v>
      </c>
      <c r="H30" s="31">
        <f t="shared" ref="H30:H38" si="4">IF(E30&lt;=K$29,G30*(F29+F30)/2,0)</f>
        <v>0</v>
      </c>
      <c r="J30" s="37" t="s">
        <v>71</v>
      </c>
      <c r="K30" s="11">
        <f>SUM(H29:H51)</f>
        <v>14.914149999999962</v>
      </c>
      <c r="L30" s="35"/>
    </row>
    <row r="31" spans="2:12" ht="16.5" customHeight="1" x14ac:dyDescent="0.25">
      <c r="B31" s="119"/>
      <c r="C31" s="120">
        <v>14.04</v>
      </c>
      <c r="D31" s="121"/>
      <c r="E31" s="30">
        <v>98.26</v>
      </c>
      <c r="F31" s="31">
        <f t="shared" si="2"/>
        <v>1.3699999999999903</v>
      </c>
      <c r="G31" s="32">
        <f t="shared" si="3"/>
        <v>2.1899999999999995</v>
      </c>
      <c r="H31" s="31">
        <f t="shared" si="4"/>
        <v>1.500149999999989</v>
      </c>
      <c r="J31" s="37" t="s">
        <v>72</v>
      </c>
      <c r="K31" s="11">
        <f>LOOKUP("RBKF",B29:C51)-LOOKUP("LBKF",B29:C51)</f>
        <v>13.049999999999999</v>
      </c>
      <c r="L31" s="35"/>
    </row>
    <row r="32" spans="2:12" ht="16.5" customHeight="1" x14ac:dyDescent="0.25">
      <c r="B32" s="119"/>
      <c r="C32" s="120">
        <v>18.03</v>
      </c>
      <c r="D32" s="121"/>
      <c r="E32" s="30">
        <v>97.97</v>
      </c>
      <c r="F32" s="31">
        <f t="shared" si="2"/>
        <v>1.6599999999999966</v>
      </c>
      <c r="G32" s="32">
        <f t="shared" si="3"/>
        <v>3.990000000000002</v>
      </c>
      <c r="H32" s="31">
        <f t="shared" si="4"/>
        <v>6.0448499999999772</v>
      </c>
      <c r="J32" s="37" t="s">
        <v>73</v>
      </c>
      <c r="K32" s="11">
        <f>K30/K31</f>
        <v>1.1428467432950162</v>
      </c>
      <c r="L32" s="35"/>
    </row>
    <row r="33" spans="2:13" ht="16.5" customHeight="1" x14ac:dyDescent="0.25">
      <c r="B33" s="119"/>
      <c r="C33" s="120">
        <v>22.1</v>
      </c>
      <c r="D33" s="121"/>
      <c r="E33" s="30">
        <v>98.57</v>
      </c>
      <c r="F33" s="31">
        <f t="shared" si="2"/>
        <v>1.0600000000000023</v>
      </c>
      <c r="G33" s="32">
        <f t="shared" si="3"/>
        <v>4.07</v>
      </c>
      <c r="H33" s="31">
        <f t="shared" si="4"/>
        <v>5.5351999999999979</v>
      </c>
      <c r="J33" s="37" t="s">
        <v>74</v>
      </c>
      <c r="K33" s="38">
        <f>K31/K32</f>
        <v>11.418853907195544</v>
      </c>
      <c r="L33" s="35"/>
    </row>
    <row r="34" spans="2:13" ht="16.5" customHeight="1" x14ac:dyDescent="0.25">
      <c r="B34" s="119"/>
      <c r="C34" s="120">
        <v>23.98</v>
      </c>
      <c r="D34" s="121"/>
      <c r="E34" s="30">
        <v>99.02</v>
      </c>
      <c r="F34" s="31">
        <f t="shared" si="2"/>
        <v>0.60999999999999943</v>
      </c>
      <c r="G34" s="32">
        <f t="shared" si="3"/>
        <v>1.879999999999999</v>
      </c>
      <c r="H34" s="31">
        <f t="shared" si="4"/>
        <v>1.5698000000000008</v>
      </c>
      <c r="J34" s="37" t="s">
        <v>75</v>
      </c>
      <c r="K34" s="11">
        <f>MAX(F29:F51)</f>
        <v>1.6599999999999966</v>
      </c>
      <c r="L34" s="35"/>
    </row>
    <row r="35" spans="2:13" ht="16.5" customHeight="1" x14ac:dyDescent="0.25">
      <c r="B35" s="119"/>
      <c r="C35" s="120">
        <v>24.65</v>
      </c>
      <c r="D35" s="121"/>
      <c r="E35" s="30">
        <v>99.5</v>
      </c>
      <c r="F35" s="31">
        <f t="shared" si="2"/>
        <v>0.12999999999999545</v>
      </c>
      <c r="G35" s="32">
        <f t="shared" si="3"/>
        <v>0.66999999999999815</v>
      </c>
      <c r="H35" s="31">
        <f t="shared" si="4"/>
        <v>0.24789999999999759</v>
      </c>
      <c r="J35" s="37" t="s">
        <v>76</v>
      </c>
      <c r="K35" s="39">
        <f>K34/K32</f>
        <v>1.4525132173137598</v>
      </c>
      <c r="L35" s="35"/>
    </row>
    <row r="36" spans="2:13" ht="16.5" customHeight="1" x14ac:dyDescent="0.25">
      <c r="B36" s="119" t="s">
        <v>3</v>
      </c>
      <c r="C36" s="120">
        <v>24.9</v>
      </c>
      <c r="D36" s="121"/>
      <c r="E36" s="30">
        <v>99.63</v>
      </c>
      <c r="F36" s="31">
        <f t="shared" si="2"/>
        <v>0</v>
      </c>
      <c r="G36" s="32">
        <f t="shared" si="3"/>
        <v>0.25</v>
      </c>
      <c r="H36" s="31">
        <f t="shared" si="4"/>
        <v>1.6249999999999432E-2</v>
      </c>
      <c r="J36" s="40" t="s">
        <v>25</v>
      </c>
      <c r="K36" s="41">
        <v>1.66</v>
      </c>
      <c r="L36" s="35"/>
    </row>
    <row r="37" spans="2:13" ht="16.5" customHeight="1" x14ac:dyDescent="0.25">
      <c r="B37" s="119"/>
      <c r="C37" s="120">
        <v>25.28</v>
      </c>
      <c r="D37" s="121"/>
      <c r="E37" s="30">
        <v>99.9</v>
      </c>
      <c r="F37" s="31">
        <f t="shared" si="2"/>
        <v>0</v>
      </c>
      <c r="G37" s="32">
        <f t="shared" si="3"/>
        <v>0</v>
      </c>
      <c r="H37" s="31">
        <f t="shared" si="4"/>
        <v>0</v>
      </c>
      <c r="J37" s="40" t="s">
        <v>77</v>
      </c>
      <c r="K37" s="42">
        <f>+K36/K34</f>
        <v>1.000000000000002</v>
      </c>
      <c r="L37" s="35"/>
    </row>
    <row r="38" spans="2:13" ht="16.5" customHeight="1" x14ac:dyDescent="0.25">
      <c r="B38" s="119"/>
      <c r="C38" s="120">
        <v>28.93</v>
      </c>
      <c r="D38" s="121"/>
      <c r="E38" s="30">
        <v>99.73</v>
      </c>
      <c r="F38" s="31">
        <f t="shared" si="2"/>
        <v>0</v>
      </c>
      <c r="G38" s="32">
        <f t="shared" si="3"/>
        <v>0</v>
      </c>
      <c r="H38" s="31">
        <f t="shared" si="4"/>
        <v>0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55.9</v>
      </c>
      <c r="D39" s="121"/>
      <c r="E39" s="30">
        <v>99.73</v>
      </c>
      <c r="F39" s="31">
        <f t="shared" ref="F39" si="5">IF(E39&gt;0,IF(E39&lt;K$29,K$29-E39,0),0)</f>
        <v>0</v>
      </c>
      <c r="G39" s="32">
        <f t="shared" ref="G39" si="6">IF(E39&gt;0,IF(E39&lt;=K$29,C39-C38,0),0)</f>
        <v>0</v>
      </c>
      <c r="H39" s="31">
        <f t="shared" ref="H39" si="7">IF(E39&lt;=K$29,G39*(F38+F39)/2,0)</f>
        <v>0</v>
      </c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1.2965964343598054E-3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0.06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15.335693486590031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0.97251226447902872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13.090672540508432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0.87773507310228649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7.8683650312468573E-2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6.9063399558969354E-2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6.3923047584329256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19.307287103909111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2" sqref="E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116.41509433962264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123.4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0.16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1.2965964343598054E-3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1.3743922204213937E-3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1.06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