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K29" i="81" l="1"/>
  <c r="K31" i="81"/>
  <c r="G15" i="81" s="1"/>
  <c r="C23" i="73" s="1"/>
  <c r="K40" i="81"/>
  <c r="G12" i="81"/>
  <c r="G14" i="81"/>
  <c r="C22" i="73" s="1"/>
  <c r="L30" i="70"/>
  <c r="L23" i="70"/>
  <c r="M30" i="70"/>
  <c r="N30" i="70"/>
  <c r="U8" i="70"/>
  <c r="D41" i="73"/>
  <c r="C20" i="73"/>
  <c r="D20" i="73"/>
  <c r="E20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F30" i="81"/>
  <c r="G31" i="81"/>
  <c r="F33" i="81"/>
  <c r="F35" i="81"/>
  <c r="H35" i="81" s="1"/>
  <c r="G36" i="81"/>
  <c r="G30" i="81"/>
  <c r="F32" i="81"/>
  <c r="G33" i="81"/>
  <c r="H33" i="81" s="1"/>
  <c r="G35" i="81"/>
  <c r="H36" i="81"/>
  <c r="H30" i="81"/>
  <c r="G32" i="81"/>
  <c r="H32" i="81" s="1"/>
  <c r="F34" i="81"/>
  <c r="F31" i="81"/>
  <c r="G34" i="81"/>
  <c r="F36" i="81"/>
  <c r="F37" i="81"/>
  <c r="G37" i="81"/>
  <c r="H37" i="81" s="1"/>
  <c r="G7" i="81"/>
  <c r="C15" i="73" s="1"/>
  <c r="H34" i="81" l="1"/>
  <c r="H31" i="81"/>
  <c r="K34" i="81"/>
  <c r="K37" i="81" s="1"/>
  <c r="G13" i="81" s="1"/>
  <c r="C21" i="73" s="1"/>
  <c r="K30" i="81"/>
  <c r="G10" i="81" l="1"/>
  <c r="C18" i="73" s="1"/>
  <c r="G6" i="81"/>
  <c r="C14" i="73" s="1"/>
  <c r="K32" i="81"/>
  <c r="G8" i="81" l="1"/>
  <c r="C16" i="73" s="1"/>
  <c r="K33" i="81"/>
  <c r="G9" i="81" s="1"/>
  <c r="C17" i="73" s="1"/>
  <c r="K35" i="81"/>
  <c r="G11" i="81" s="1"/>
  <c r="C19" i="73" s="1"/>
  <c r="K42" i="81"/>
  <c r="K43" i="81" s="1"/>
  <c r="K46" i="81" l="1"/>
  <c r="K44" i="81"/>
  <c r="G18" i="81" l="1"/>
  <c r="C25" i="73" s="1"/>
  <c r="K45" i="81"/>
  <c r="G19" i="81" s="1"/>
  <c r="C26" i="73" s="1"/>
  <c r="K48" i="81"/>
  <c r="G22" i="81" s="1"/>
  <c r="C29" i="73" s="1"/>
  <c r="G20" i="81"/>
  <c r="C27" i="73" s="1"/>
  <c r="K49" i="81"/>
  <c r="G23" i="81" s="1"/>
  <c r="C30" i="73" s="1"/>
  <c r="K47" i="81" l="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<sst xmlns="http://schemas.openxmlformats.org/spreadsheetml/2006/main" count="172" uniqueCount="111">
  <si>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</si>
  <si>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</si>
  <si>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</si>
  <si>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</si>
  <si>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</si>
  <si>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</si>
  <si>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</si>
  <si>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</si>
  <si>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</si>
  <si>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</si>
  <si>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</si>
  <si>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</si>
  <si>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</si>
  <si>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</si>
  <si>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</si>
  <si>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</si>
  <si>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</si>
  <si>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</si>
  <si>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</si>
  <si>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</si>
  <si>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</si>
  <si>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</si>
  <si>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</si>
  <si>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</si>
  <si>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</si>
  <si>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</si>
  <si>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</si>
  <si>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</si>
  <si>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</si>
  <si>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</si>
  <si>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</si>
  <si>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</si>
  <si>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</si>
  <si>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</si>
  <si>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</si>
  <si>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</si>
  <si>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</si>
  <si>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</si>
  <si>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</si>
  <si>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</si>
  <si>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</si>
  <si>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</si>
  <si>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</si>
  <si>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</si>
  <si>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</si>
  <si>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</si>
  <si>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</si>
  <si>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</si>
  <si>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</si>
  <si>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</si>
  <si>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</si>
  <si>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</si>
  <si>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</si>
  <si>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</si>
  <si>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</si>
  <si>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</si>
  <si>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</si>
  <si>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</si>
  <si>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</si>
  <si>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</si>
  <si>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</si>
  <si>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</si>
  <si>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</si>
  <si>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</si>
  <si>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</si>
  <si>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</si>
  <si>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</si>
  <si>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</si>
  <si>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</si>
  <si>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</si>
  <si>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</si>
  <si>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</si>
  <si>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</si>
  <si>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</si>
  <si>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</si>
  <si>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</si>
  <si>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</si>
  <si>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</si>
  <si>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</si>
  <si>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</si>
  <si>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</si>
  <si>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</si>
  <si>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</si>
  <si>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</si>
  <si>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</si>
  <si>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</si>
  <si>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</si>
  <si>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</si>
  <si>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</si>
  <si>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</si>
  <si>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</si>
  <si>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</si>
  <si>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</si>
  <si>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</si>
  <si>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</si>
  <si>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</si>
  <si>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</si>
  <si>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</si>
  <si>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</si>
  <si>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</si>
  <si>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</si>
  <si>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</si>
  <si>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</si>
  <si>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</si>
  <si>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UT Cane Branch, Francis Marion NF</t>
  </si>
  <si>
    <t>33.183908, -79.526605</t>
  </si>
  <si>
    <t>UT Cane Branch</t>
  </si>
  <si>
    <t>sand</t>
  </si>
  <si>
    <t>&gt;67</t>
  </si>
  <si>
    <t>&gt;10.0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</si>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</sst>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7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18.990000000000002</c:v>
                </c:pt>
                <c:pt idx="2">
                  <c:v>21.200000000000003</c:v>
                </c:pt>
                <c:pt idx="3">
                  <c:v>22.229999999999997</c:v>
                </c:pt>
                <c:pt idx="4">
                  <c:v>25.380000000000003</c:v>
                </c:pt>
                <c:pt idx="5">
                  <c:v>27.549999999999997</c:v>
                </c:pt>
                <c:pt idx="6">
                  <c:v>27.94</c:v>
                </c:pt>
                <c:pt idx="7">
                  <c:v>27.979999999999997</c:v>
                </c:pt>
                <c:pt idx="8">
                  <c:v>34.53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99.56</c:v>
                </c:pt>
                <c:pt idx="1">
                  <c:v>99.55</c:v>
                </c:pt>
                <c:pt idx="2">
                  <c:v>99.49</c:v>
                </c:pt>
                <c:pt idx="3">
                  <c:v>98.52</c:v>
                </c:pt>
                <c:pt idx="4">
                  <c:v>98.29</c:v>
                </c:pt>
                <c:pt idx="5">
                  <c:v>98.48</c:v>
                </c:pt>
                <c:pt idx="6">
                  <c:v>99.49</c:v>
                </c:pt>
                <c:pt idx="7">
                  <c:v>99.6</c:v>
                </c:pt>
                <c:pt idx="8">
                  <c:v>99.53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879080"/>
        <c:axId val="329493248"/>
      </c:scatterChart>
      <c:valAx>
        <c:axId val="32787908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9493248"/>
        <c:crosses val="autoZero"/>
        <c:crossBetween val="midCat"/>
      </c:valAx>
      <c:valAx>
        <c:axId val="3294932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27879080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496384"/>
        <c:axId val="32949364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2949638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9493640"/>
        <c:crosses val="autoZero"/>
        <c:crossBetween val="midCat"/>
        <c:minorUnit val="25"/>
      </c:valAx>
      <c:valAx>
        <c:axId val="32949364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29496384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="" xmlns:a16="http://schemas.microsoft.com/office/drawing/2014/main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6" sqref="B6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43859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25" t="s">
        <v>50</v>
      </c>
      <c r="D5" s="125"/>
      <c r="E5" s="125"/>
    </row>
    <row r="6" spans="2:5" ht="16.95" customHeight="1" thickTop="1" x14ac:dyDescent="0.25">
      <c r="B6" s="15" t="s">
        <v>60</v>
      </c>
      <c r="C6" s="126" t="s">
        <v>106</v>
      </c>
      <c r="D6" s="127"/>
      <c r="E6" s="128"/>
    </row>
    <row r="7" spans="2:5" ht="16.95" customHeight="1" x14ac:dyDescent="0.25">
      <c r="B7" s="15" t="s">
        <v>59</v>
      </c>
      <c r="C7" s="129" t="s">
        <v>110</v>
      </c>
      <c r="D7" s="130"/>
      <c r="E7" s="131"/>
    </row>
    <row r="8" spans="2:5" ht="16.95" customHeight="1" x14ac:dyDescent="0.25">
      <c r="B8" s="15" t="s">
        <v>21</v>
      </c>
      <c r="C8" s="132">
        <v>0.56999999999999995</v>
      </c>
      <c r="D8" s="133"/>
      <c r="E8" s="134"/>
    </row>
    <row r="9" spans="2:5" ht="16.95" customHeight="1" x14ac:dyDescent="0.25">
      <c r="B9" s="15" t="s">
        <v>89</v>
      </c>
      <c r="C9" s="144" t="s">
        <v>107</v>
      </c>
      <c r="D9" s="145"/>
      <c r="E9" s="146"/>
    </row>
    <row r="10" spans="2:5" ht="16.95" customHeight="1" x14ac:dyDescent="0.25">
      <c r="B10" s="15" t="s">
        <v>52</v>
      </c>
      <c r="C10" s="138">
        <f>'Longitudinal Profile'!H9</f>
        <v>6.6666666666666664E-4</v>
      </c>
      <c r="D10" s="139"/>
      <c r="E10" s="140"/>
    </row>
    <row r="11" spans="2:5" ht="16.95" customHeight="1" x14ac:dyDescent="0.25">
      <c r="B11" s="15" t="s">
        <v>53</v>
      </c>
      <c r="C11" s="147">
        <f>'Longitudinal Profile'!H11</f>
        <v>1.17</v>
      </c>
      <c r="D11" s="148"/>
      <c r="E11" s="149"/>
    </row>
    <row r="12" spans="2:5" ht="16.95" customHeight="1" thickBot="1" x14ac:dyDescent="0.3">
      <c r="B12" s="15" t="s">
        <v>23</v>
      </c>
      <c r="C12" s="141">
        <f>'Longitudinal Profile'!H7</f>
        <v>45</v>
      </c>
      <c r="D12" s="142"/>
      <c r="E12" s="143"/>
    </row>
    <row r="13" spans="2:5" ht="16.95" customHeight="1" thickTop="1" x14ac:dyDescent="0.25">
      <c r="B13" s="116" t="s">
        <v>17</v>
      </c>
      <c r="C13" s="135" t="s">
        <v>64</v>
      </c>
      <c r="D13" s="136"/>
      <c r="E13" s="137"/>
    </row>
    <row r="14" spans="2:5" ht="16.95" customHeight="1" x14ac:dyDescent="0.25">
      <c r="B14" s="114" t="s">
        <v>71</v>
      </c>
      <c r="C14" s="122">
        <f>'Cross-section'!G6</f>
        <v>6.5120999999999549</v>
      </c>
      <c r="D14" s="123"/>
      <c r="E14" s="124"/>
    </row>
    <row r="15" spans="2:5" ht="16.95" customHeight="1" x14ac:dyDescent="0.25">
      <c r="B15" s="40" t="s">
        <v>72</v>
      </c>
      <c r="C15" s="122">
        <f>'Cross-section'!G7</f>
        <v>6.7399999999999984</v>
      </c>
      <c r="D15" s="123">
        <f>'Cross-section'!H7</f>
        <v>0</v>
      </c>
      <c r="E15" s="124">
        <f>'Cross-section'!I7</f>
        <v>0</v>
      </c>
    </row>
    <row r="16" spans="2:5" ht="16.95" customHeight="1" x14ac:dyDescent="0.25">
      <c r="B16" s="40" t="s">
        <v>73</v>
      </c>
      <c r="C16" s="122">
        <f>'Cross-section'!G8</f>
        <v>0.96618694362017155</v>
      </c>
      <c r="D16" s="123">
        <f>'Cross-section'!H8</f>
        <v>0</v>
      </c>
      <c r="E16" s="124">
        <f>'Cross-section'!I8</f>
        <v>0</v>
      </c>
    </row>
    <row r="17" spans="2:5" ht="16.95" customHeight="1" x14ac:dyDescent="0.25">
      <c r="B17" s="40" t="s">
        <v>74</v>
      </c>
      <c r="C17" s="122">
        <f>'Cross-section'!G9</f>
        <v>6.9758756775848489</v>
      </c>
      <c r="D17" s="123">
        <f>'Cross-section'!H9</f>
        <v>0</v>
      </c>
      <c r="E17" s="124">
        <f>'Cross-section'!I9</f>
        <v>0</v>
      </c>
    </row>
    <row r="18" spans="2:5" ht="16.95" customHeight="1" x14ac:dyDescent="0.25">
      <c r="B18" s="40" t="s">
        <v>75</v>
      </c>
      <c r="C18" s="122">
        <f>'Cross-section'!G10</f>
        <v>1.1999999999999886</v>
      </c>
      <c r="D18" s="123">
        <f>'Cross-section'!H10</f>
        <v>0</v>
      </c>
      <c r="E18" s="124">
        <f>'Cross-section'!I10</f>
        <v>0</v>
      </c>
    </row>
    <row r="19" spans="2:5" ht="16.95" customHeight="1" x14ac:dyDescent="0.25">
      <c r="B19" s="40" t="s">
        <v>76</v>
      </c>
      <c r="C19" s="122">
        <f>'Cross-section'!G11</f>
        <v>1.2419956695996648</v>
      </c>
      <c r="D19" s="123">
        <f>'Cross-section'!H11</f>
        <v>0</v>
      </c>
      <c r="E19" s="124">
        <f>'Cross-section'!I11</f>
        <v>0</v>
      </c>
    </row>
    <row r="20" spans="2:5" ht="16.95" customHeight="1" x14ac:dyDescent="0.25">
      <c r="B20" s="40" t="s">
        <v>25</v>
      </c>
      <c r="C20" s="122">
        <f>'Cross-section'!G12</f>
        <v>1.2</v>
      </c>
      <c r="D20" s="123">
        <f>'Cross-section'!H12</f>
        <v>0</v>
      </c>
      <c r="E20" s="124">
        <f>'Cross-section'!I12</f>
        <v>0</v>
      </c>
    </row>
    <row r="21" spans="2:5" ht="16.95" customHeight="1" x14ac:dyDescent="0.25">
      <c r="B21" s="40" t="s">
        <v>77</v>
      </c>
      <c r="C21" s="122">
        <f>'Cross-section'!G13</f>
        <v>1.0000000000000095</v>
      </c>
      <c r="D21" s="123">
        <f>'Cross-section'!H13</f>
        <v>0</v>
      </c>
      <c r="E21" s="124">
        <f>'Cross-section'!I13</f>
        <v>0</v>
      </c>
    </row>
    <row r="22" spans="2:5" ht="16.95" customHeight="1" x14ac:dyDescent="0.25">
      <c r="B22" s="40" t="s">
        <v>78</v>
      </c>
      <c r="C22" s="122" t="str">
        <f>'Cross-section'!G14</f>
        <v>&gt;67</v>
      </c>
      <c r="D22" s="123">
        <f>'Cross-section'!H14</f>
        <v>0</v>
      </c>
      <c r="E22" s="124">
        <f>'Cross-section'!I14</f>
        <v>0</v>
      </c>
    </row>
    <row r="23" spans="2:5" ht="16.95" customHeight="1" thickBot="1" x14ac:dyDescent="0.3">
      <c r="B23" s="115" t="s">
        <v>79</v>
      </c>
      <c r="C23" s="122" t="str">
        <f>'Cross-section'!G15</f>
        <v>&gt;10.0</v>
      </c>
      <c r="D23" s="123">
        <f>'Cross-section'!H15</f>
        <v>0</v>
      </c>
      <c r="E23" s="124">
        <f>'Cross-section'!I15</f>
        <v>0</v>
      </c>
    </row>
    <row r="24" spans="2:5" ht="16.95" customHeight="1" thickTop="1" x14ac:dyDescent="0.25">
      <c r="B24" s="116" t="s">
        <v>17</v>
      </c>
      <c r="C24" s="155" t="s">
        <v>54</v>
      </c>
      <c r="D24" s="156"/>
      <c r="E24" s="157"/>
    </row>
    <row r="25" spans="2:5" ht="16.95" customHeight="1" x14ac:dyDescent="0.25">
      <c r="B25" s="40" t="s">
        <v>80</v>
      </c>
      <c r="C25" s="122">
        <f>'Cross-section'!G18</f>
        <v>3.4492474805779474</v>
      </c>
      <c r="D25" s="123">
        <f>'Cross-section'!H18</f>
        <v>0</v>
      </c>
      <c r="E25" s="124">
        <f>'Cross-section'!I18</f>
        <v>0</v>
      </c>
    </row>
    <row r="26" spans="2:5" ht="16.95" customHeight="1" x14ac:dyDescent="0.25">
      <c r="B26" s="40" t="s">
        <v>81</v>
      </c>
      <c r="C26" s="122">
        <f>'Cross-section'!G19</f>
        <v>0.52966746219775052</v>
      </c>
      <c r="D26" s="123">
        <f>'Cross-section'!H19</f>
        <v>0</v>
      </c>
      <c r="E26" s="124">
        <f>'Cross-section'!I19</f>
        <v>0</v>
      </c>
    </row>
    <row r="27" spans="2:5" ht="16.95" customHeight="1" x14ac:dyDescent="0.25">
      <c r="B27" s="40" t="s">
        <v>51</v>
      </c>
      <c r="C27" s="122">
        <f>'Cross-section'!G20</f>
        <v>3.1237509305102499E-2</v>
      </c>
      <c r="D27" s="123">
        <f>'Cross-section'!H20</f>
        <v>0</v>
      </c>
      <c r="E27" s="124">
        <f>'Cross-section'!I20</f>
        <v>0</v>
      </c>
    </row>
    <row r="28" spans="2:5" ht="16.95" customHeight="1" x14ac:dyDescent="0.25">
      <c r="B28" s="40" t="s">
        <v>82</v>
      </c>
      <c r="C28" s="122">
        <f>'Cross-section'!G21</f>
        <v>1.6545492279012256E-2</v>
      </c>
      <c r="D28" s="123">
        <f>'Cross-section'!H21</f>
        <v>0</v>
      </c>
      <c r="E28" s="124">
        <f>'Cross-section'!I21</f>
        <v>0</v>
      </c>
    </row>
    <row r="29" spans="2:5" ht="16.95" customHeight="1" x14ac:dyDescent="0.25">
      <c r="B29" s="15" t="s">
        <v>66</v>
      </c>
      <c r="C29" s="122">
        <f>'Cross-section'!G22</f>
        <v>2.5377531238018496</v>
      </c>
      <c r="D29" s="123">
        <f>'Cross-section'!H22</f>
        <v>0</v>
      </c>
      <c r="E29" s="124">
        <f>'Cross-section'!I22</f>
        <v>0</v>
      </c>
    </row>
    <row r="30" spans="2:5" ht="16.95" customHeight="1" thickBot="1" x14ac:dyDescent="0.3">
      <c r="B30" s="15" t="s">
        <v>67</v>
      </c>
      <c r="C30" s="122">
        <f>'Cross-section'!G23</f>
        <v>7.6650175502733955</v>
      </c>
      <c r="D30" s="123">
        <f>'Cross-section'!H23</f>
        <v>0</v>
      </c>
      <c r="E30" s="124">
        <f>'Cross-section'!I23</f>
        <v>0</v>
      </c>
    </row>
    <row r="31" spans="2:5" ht="16.95" customHeight="1" thickTop="1" x14ac:dyDescent="0.25">
      <c r="B31" s="153" t="s">
        <v>17</v>
      </c>
      <c r="C31" s="150" t="s">
        <v>57</v>
      </c>
      <c r="D31" s="151"/>
      <c r="E31" s="152"/>
    </row>
    <row r="32" spans="2:5" ht="16.95" customHeight="1" thickBot="1" x14ac:dyDescent="0.3">
      <c r="B32" s="154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53" t="s">
        <v>17</v>
      </c>
      <c r="C39" s="150" t="s">
        <v>58</v>
      </c>
      <c r="D39" s="151"/>
      <c r="E39" s="152"/>
    </row>
    <row r="40" spans="2:5" ht="16.95" customHeight="1" thickBot="1" x14ac:dyDescent="0.3">
      <c r="B40" s="154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G1" sqref="G1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4" t="s">
        <v>17</v>
      </c>
      <c r="C5" s="165"/>
      <c r="D5" s="165"/>
      <c r="E5" s="165"/>
      <c r="F5" s="166"/>
      <c r="G5" s="164" t="s">
        <v>64</v>
      </c>
      <c r="H5" s="165"/>
      <c r="I5" s="166"/>
      <c r="K5" s="5"/>
      <c r="L5" s="5"/>
    </row>
    <row r="6" spans="2:12" ht="16.5" customHeight="1" x14ac:dyDescent="0.25">
      <c r="B6" s="173" t="s">
        <v>71</v>
      </c>
      <c r="C6" s="174"/>
      <c r="D6" s="174"/>
      <c r="E6" s="174"/>
      <c r="F6" s="175"/>
      <c r="G6" s="161">
        <f>K30</f>
        <v>6.5120999999999549</v>
      </c>
      <c r="H6" s="162"/>
      <c r="I6" s="163"/>
      <c r="K6" s="5"/>
      <c r="L6" s="5"/>
    </row>
    <row r="7" spans="2:12" ht="16.5" customHeight="1" x14ac:dyDescent="0.25">
      <c r="B7" s="173" t="s">
        <v>72</v>
      </c>
      <c r="C7" s="174"/>
      <c r="D7" s="174"/>
      <c r="E7" s="174"/>
      <c r="F7" s="175"/>
      <c r="G7" s="161">
        <f t="shared" ref="G7:G15" si="0">K31</f>
        <v>6.7399999999999984</v>
      </c>
      <c r="H7" s="162"/>
      <c r="I7" s="163"/>
      <c r="J7" s="12"/>
      <c r="K7" s="5"/>
      <c r="L7" s="5"/>
    </row>
    <row r="8" spans="2:12" ht="16.5" customHeight="1" x14ac:dyDescent="0.25">
      <c r="B8" s="173" t="s">
        <v>73</v>
      </c>
      <c r="C8" s="174"/>
      <c r="D8" s="174"/>
      <c r="E8" s="174"/>
      <c r="F8" s="175"/>
      <c r="G8" s="161">
        <f t="shared" si="0"/>
        <v>0.96618694362017155</v>
      </c>
      <c r="H8" s="162"/>
      <c r="I8" s="163"/>
      <c r="J8" s="12"/>
      <c r="K8" s="5"/>
      <c r="L8" s="5"/>
    </row>
    <row r="9" spans="2:12" ht="16.5" customHeight="1" x14ac:dyDescent="0.25">
      <c r="B9" s="173" t="s">
        <v>74</v>
      </c>
      <c r="C9" s="174"/>
      <c r="D9" s="174"/>
      <c r="E9" s="174"/>
      <c r="F9" s="175"/>
      <c r="G9" s="161">
        <f t="shared" si="0"/>
        <v>6.9758756775848489</v>
      </c>
      <c r="H9" s="162"/>
      <c r="I9" s="163"/>
      <c r="J9" s="12"/>
      <c r="K9" s="5"/>
      <c r="L9" s="5"/>
    </row>
    <row r="10" spans="2:12" ht="16.5" customHeight="1" x14ac:dyDescent="0.25">
      <c r="B10" s="173" t="s">
        <v>75</v>
      </c>
      <c r="C10" s="174"/>
      <c r="D10" s="174"/>
      <c r="E10" s="174"/>
      <c r="F10" s="175"/>
      <c r="G10" s="161">
        <f t="shared" si="0"/>
        <v>1.1999999999999886</v>
      </c>
      <c r="H10" s="162"/>
      <c r="I10" s="163"/>
      <c r="J10" s="12"/>
      <c r="K10" s="5"/>
      <c r="L10" s="5"/>
    </row>
    <row r="11" spans="2:12" ht="16.5" customHeight="1" x14ac:dyDescent="0.25">
      <c r="B11" s="173" t="s">
        <v>76</v>
      </c>
      <c r="C11" s="174"/>
      <c r="D11" s="174"/>
      <c r="E11" s="174"/>
      <c r="F11" s="175"/>
      <c r="G11" s="161">
        <f t="shared" si="0"/>
        <v>1.2419956695996648</v>
      </c>
      <c r="H11" s="162"/>
      <c r="I11" s="163"/>
      <c r="J11" s="12"/>
      <c r="K11" s="5"/>
      <c r="L11" s="5"/>
    </row>
    <row r="12" spans="2:12" ht="16.5" customHeight="1" x14ac:dyDescent="0.25">
      <c r="B12" s="170" t="s">
        <v>25</v>
      </c>
      <c r="C12" s="171"/>
      <c r="D12" s="171"/>
      <c r="E12" s="171"/>
      <c r="F12" s="172"/>
      <c r="G12" s="161">
        <f t="shared" si="0"/>
        <v>1.2</v>
      </c>
      <c r="H12" s="162"/>
      <c r="I12" s="163"/>
      <c r="J12" s="12"/>
      <c r="K12" s="5"/>
      <c r="L12" s="5"/>
    </row>
    <row r="13" spans="2:12" ht="16.5" customHeight="1" x14ac:dyDescent="0.25">
      <c r="B13" s="170" t="s">
        <v>77</v>
      </c>
      <c r="C13" s="171"/>
      <c r="D13" s="171"/>
      <c r="E13" s="171"/>
      <c r="F13" s="172"/>
      <c r="G13" s="161">
        <f t="shared" si="0"/>
        <v>1.0000000000000095</v>
      </c>
      <c r="H13" s="162"/>
      <c r="I13" s="163"/>
      <c r="J13" s="12"/>
      <c r="K13" s="5"/>
      <c r="L13" s="5"/>
    </row>
    <row r="14" spans="2:12" ht="16.5" customHeight="1" x14ac:dyDescent="0.25">
      <c r="B14" s="167" t="s">
        <v>78</v>
      </c>
      <c r="C14" s="168"/>
      <c r="D14" s="168"/>
      <c r="E14" s="168"/>
      <c r="F14" s="169"/>
      <c r="G14" s="161" t="str">
        <f t="shared" si="0"/>
        <v>&gt;67</v>
      </c>
      <c r="H14" s="162"/>
      <c r="I14" s="163"/>
      <c r="J14" s="12"/>
      <c r="K14" s="5"/>
      <c r="L14" s="5"/>
    </row>
    <row r="15" spans="2:12" ht="16.5" customHeight="1" x14ac:dyDescent="0.25">
      <c r="B15" s="173" t="s">
        <v>79</v>
      </c>
      <c r="C15" s="174"/>
      <c r="D15" s="174"/>
      <c r="E15" s="174"/>
      <c r="F15" s="175"/>
      <c r="G15" s="161" t="str">
        <f t="shared" si="0"/>
        <v>&gt;10.0</v>
      </c>
      <c r="H15" s="162"/>
      <c r="I15" s="163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4" t="s">
        <v>17</v>
      </c>
      <c r="C17" s="165"/>
      <c r="D17" s="165"/>
      <c r="E17" s="165"/>
      <c r="F17" s="166"/>
      <c r="G17" s="164" t="s">
        <v>54</v>
      </c>
      <c r="H17" s="165"/>
      <c r="I17" s="166"/>
      <c r="K17" s="5"/>
      <c r="L17" s="5"/>
    </row>
    <row r="18" spans="2:12" ht="16.5" customHeight="1" x14ac:dyDescent="0.25">
      <c r="B18" s="173" t="s">
        <v>80</v>
      </c>
      <c r="C18" s="174"/>
      <c r="D18" s="174"/>
      <c r="E18" s="174"/>
      <c r="F18" s="175"/>
      <c r="G18" s="158">
        <f>K44</f>
        <v>3.4492474805779474</v>
      </c>
      <c r="H18" s="159"/>
      <c r="I18" s="160"/>
      <c r="K18" s="5"/>
      <c r="L18" s="5"/>
    </row>
    <row r="19" spans="2:12" ht="16.5" customHeight="1" x14ac:dyDescent="0.25">
      <c r="B19" s="173" t="s">
        <v>81</v>
      </c>
      <c r="C19" s="174"/>
      <c r="D19" s="174"/>
      <c r="E19" s="174"/>
      <c r="F19" s="175"/>
      <c r="G19" s="122">
        <f t="shared" ref="G19:G23" si="1">K45</f>
        <v>0.52966746219775052</v>
      </c>
      <c r="H19" s="123"/>
      <c r="I19" s="124"/>
      <c r="K19" s="5"/>
      <c r="L19" s="5"/>
    </row>
    <row r="20" spans="2:12" ht="16.5" customHeight="1" x14ac:dyDescent="0.25">
      <c r="B20" s="173" t="s">
        <v>82</v>
      </c>
      <c r="C20" s="174"/>
      <c r="D20" s="174"/>
      <c r="E20" s="174"/>
      <c r="F20" s="175"/>
      <c r="G20" s="122">
        <f t="shared" si="1"/>
        <v>3.1237509305102499E-2</v>
      </c>
      <c r="H20" s="123"/>
      <c r="I20" s="124"/>
      <c r="J20" s="2"/>
      <c r="K20" s="5"/>
      <c r="L20" s="5"/>
    </row>
    <row r="21" spans="2:12" ht="16.5" customHeight="1" x14ac:dyDescent="0.25">
      <c r="B21" s="173" t="s">
        <v>49</v>
      </c>
      <c r="C21" s="174"/>
      <c r="D21" s="174"/>
      <c r="E21" s="174"/>
      <c r="F21" s="175"/>
      <c r="G21" s="122">
        <f t="shared" si="1"/>
        <v>1.6545492279012256E-2</v>
      </c>
      <c r="H21" s="123"/>
      <c r="I21" s="124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58">
        <f t="shared" si="1"/>
        <v>2.5377531238018496</v>
      </c>
      <c r="H22" s="159"/>
      <c r="I22" s="160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58">
        <f t="shared" si="1"/>
        <v>7.6650175502733955</v>
      </c>
      <c r="H23" s="159"/>
      <c r="I23" s="160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99.56</v>
      </c>
      <c r="F29" s="31"/>
      <c r="G29" s="32"/>
      <c r="H29" s="31"/>
      <c r="J29" s="33" t="s">
        <v>15</v>
      </c>
      <c r="K29" s="34">
        <f>LOOKUP("LBKF",B29:E51)</f>
        <v>99.49</v>
      </c>
      <c r="L29" s="35"/>
    </row>
    <row r="30" spans="2:12" ht="16.5" customHeight="1" x14ac:dyDescent="0.25">
      <c r="B30" s="119"/>
      <c r="C30" s="120">
        <v>18.990000000000002</v>
      </c>
      <c r="D30" s="121"/>
      <c r="E30" s="30">
        <v>99.55</v>
      </c>
      <c r="F30" s="31">
        <f t="shared" ref="F30:F36" si="2">IF(E30&gt;0,IF(E30&lt;K$29,K$29-E30,0),0)</f>
        <v>0</v>
      </c>
      <c r="G30" s="32">
        <f t="shared" ref="G30:G36" si="3">IF(E30&gt;0,IF(E30&lt;=K$29,C30-C29,0),0)</f>
        <v>0</v>
      </c>
      <c r="H30" s="31">
        <f t="shared" ref="H30:H36" si="4">IF(E30&lt;=K$29,G30*(F29+F30)/2,0)</f>
        <v>0</v>
      </c>
      <c r="J30" s="37" t="s">
        <v>71</v>
      </c>
      <c r="K30" s="11">
        <f>SUM(H29:H51)</f>
        <v>6.5120999999999549</v>
      </c>
      <c r="L30" s="35"/>
    </row>
    <row r="31" spans="2:12" ht="16.5" customHeight="1" x14ac:dyDescent="0.25">
      <c r="B31" s="119" t="s">
        <v>2</v>
      </c>
      <c r="C31" s="120">
        <v>21.200000000000003</v>
      </c>
      <c r="D31" s="121"/>
      <c r="E31" s="30">
        <v>99.49</v>
      </c>
      <c r="F31" s="31">
        <f t="shared" si="2"/>
        <v>0</v>
      </c>
      <c r="G31" s="32">
        <f t="shared" si="3"/>
        <v>2.2100000000000009</v>
      </c>
      <c r="H31" s="31">
        <f t="shared" si="4"/>
        <v>0</v>
      </c>
      <c r="J31" s="37" t="s">
        <v>72</v>
      </c>
      <c r="K31" s="11">
        <f>LOOKUP("RBKF",B29:C51)-LOOKUP("LBKF",B29:C51)</f>
        <v>6.7399999999999984</v>
      </c>
      <c r="L31" s="35"/>
    </row>
    <row r="32" spans="2:12" ht="16.5" customHeight="1" x14ac:dyDescent="0.25">
      <c r="B32" s="119"/>
      <c r="C32" s="120">
        <v>22.229999999999997</v>
      </c>
      <c r="D32" s="121"/>
      <c r="E32" s="30">
        <v>98.52</v>
      </c>
      <c r="F32" s="31">
        <f t="shared" si="2"/>
        <v>0.96999999999999886</v>
      </c>
      <c r="G32" s="32">
        <f t="shared" si="3"/>
        <v>1.029999999999994</v>
      </c>
      <c r="H32" s="31">
        <f t="shared" si="4"/>
        <v>0.4995499999999965</v>
      </c>
      <c r="J32" s="37" t="s">
        <v>73</v>
      </c>
      <c r="K32" s="11">
        <f>K30/K31</f>
        <v>0.96618694362017155</v>
      </c>
      <c r="L32" s="35"/>
    </row>
    <row r="33" spans="2:13" ht="16.5" customHeight="1" x14ac:dyDescent="0.25">
      <c r="B33" s="119"/>
      <c r="C33" s="120">
        <v>25.380000000000003</v>
      </c>
      <c r="D33" s="121"/>
      <c r="E33" s="30">
        <v>98.29</v>
      </c>
      <c r="F33" s="31">
        <f t="shared" si="2"/>
        <v>1.1999999999999886</v>
      </c>
      <c r="G33" s="32">
        <f t="shared" si="3"/>
        <v>3.1500000000000057</v>
      </c>
      <c r="H33" s="31">
        <f t="shared" si="4"/>
        <v>3.4177499999999865</v>
      </c>
      <c r="J33" s="37" t="s">
        <v>74</v>
      </c>
      <c r="K33" s="38">
        <f>K31/K32</f>
        <v>6.9758756775848489</v>
      </c>
      <c r="L33" s="35"/>
    </row>
    <row r="34" spans="2:13" ht="16.5" customHeight="1" x14ac:dyDescent="0.25">
      <c r="B34" s="119"/>
      <c r="C34" s="120">
        <v>27.549999999999997</v>
      </c>
      <c r="D34" s="121"/>
      <c r="E34" s="30">
        <v>98.48</v>
      </c>
      <c r="F34" s="31">
        <f t="shared" si="2"/>
        <v>1.0099999999999909</v>
      </c>
      <c r="G34" s="32">
        <f t="shared" si="3"/>
        <v>2.1699999999999946</v>
      </c>
      <c r="H34" s="31">
        <f t="shared" si="4"/>
        <v>2.3978499999999716</v>
      </c>
      <c r="J34" s="37" t="s">
        <v>75</v>
      </c>
      <c r="K34" s="11">
        <f>MAX(F29:F51)</f>
        <v>1.1999999999999886</v>
      </c>
      <c r="L34" s="35"/>
    </row>
    <row r="35" spans="2:13" ht="16.5" customHeight="1" x14ac:dyDescent="0.25">
      <c r="B35" s="119" t="s">
        <v>3</v>
      </c>
      <c r="C35" s="120">
        <v>27.94</v>
      </c>
      <c r="D35" s="121"/>
      <c r="E35" s="30">
        <v>99.49</v>
      </c>
      <c r="F35" s="31">
        <f t="shared" si="2"/>
        <v>0</v>
      </c>
      <c r="G35" s="32">
        <f t="shared" si="3"/>
        <v>0.39000000000000412</v>
      </c>
      <c r="H35" s="31">
        <f t="shared" si="4"/>
        <v>0.19695000000000032</v>
      </c>
      <c r="J35" s="37" t="s">
        <v>76</v>
      </c>
      <c r="K35" s="39">
        <f>K34/K32</f>
        <v>1.2419956695996648</v>
      </c>
      <c r="L35" s="35"/>
    </row>
    <row r="36" spans="2:13" ht="16.5" customHeight="1" x14ac:dyDescent="0.25">
      <c r="B36" s="119"/>
      <c r="C36" s="120">
        <v>27.979999999999997</v>
      </c>
      <c r="D36" s="121"/>
      <c r="E36" s="30">
        <v>99.6</v>
      </c>
      <c r="F36" s="31">
        <f t="shared" si="2"/>
        <v>0</v>
      </c>
      <c r="G36" s="32">
        <f t="shared" si="3"/>
        <v>0</v>
      </c>
      <c r="H36" s="31">
        <f t="shared" si="4"/>
        <v>0</v>
      </c>
      <c r="J36" s="40" t="s">
        <v>25</v>
      </c>
      <c r="K36" s="41">
        <v>1.2</v>
      </c>
      <c r="L36" s="35"/>
    </row>
    <row r="37" spans="2:13" ht="16.5" customHeight="1" x14ac:dyDescent="0.25">
      <c r="B37" s="119"/>
      <c r="C37" s="120">
        <v>34.53</v>
      </c>
      <c r="D37" s="121"/>
      <c r="E37" s="30">
        <v>99.53</v>
      </c>
      <c r="F37" s="31">
        <f t="shared" ref="F37" si="5">IF(E37&gt;0,IF(E37&lt;K$29,K$29-E37,0),0)</f>
        <v>0</v>
      </c>
      <c r="G37" s="32">
        <f t="shared" ref="G37" si="6">IF(E37&gt;0,IF(E37&lt;=K$29,C37-C36,0),0)</f>
        <v>0</v>
      </c>
      <c r="H37" s="31">
        <f t="shared" ref="H37" si="7">IF(E37&lt;=K$29,G37*(F36+F37)/2,0)</f>
        <v>0</v>
      </c>
      <c r="J37" s="40" t="s">
        <v>77</v>
      </c>
      <c r="K37" s="42">
        <f>+K36/K34</f>
        <v>1.0000000000000095</v>
      </c>
      <c r="L37" s="35"/>
    </row>
    <row r="38" spans="2:13" ht="16.5" customHeight="1" x14ac:dyDescent="0.25">
      <c r="B38" s="119"/>
      <c r="C38" s="120"/>
      <c r="D38" s="121"/>
      <c r="E38" s="30"/>
      <c r="F38" s="31"/>
      <c r="G38" s="32"/>
      <c r="H38" s="31"/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/>
      <c r="D39" s="121"/>
      <c r="E39" s="30"/>
      <c r="F39" s="31"/>
      <c r="G39" s="32"/>
      <c r="H39" s="31"/>
      <c r="J39" s="37" t="s">
        <v>79</v>
      </c>
      <c r="K39" s="11" t="s">
        <v>109</v>
      </c>
      <c r="L39" s="35"/>
    </row>
    <row r="40" spans="2:13" ht="16.5" customHeight="1" x14ac:dyDescent="0.25">
      <c r="B40" s="119"/>
      <c r="C40" s="120"/>
      <c r="D40" s="121"/>
      <c r="E40" s="30"/>
      <c r="F40" s="31"/>
      <c r="G40" s="32"/>
      <c r="H40" s="31"/>
      <c r="J40" s="37" t="s">
        <v>8</v>
      </c>
      <c r="K40" s="108">
        <f>+'Longitudinal Profile'!$H$9</f>
        <v>6.6666666666666664E-4</v>
      </c>
      <c r="L40" s="45"/>
    </row>
    <row r="41" spans="2:13" ht="16.5" customHeight="1" x14ac:dyDescent="0.25">
      <c r="B41" s="119"/>
      <c r="C41" s="120"/>
      <c r="D41" s="121"/>
      <c r="E41" s="30"/>
      <c r="F41" s="31"/>
      <c r="G41" s="32"/>
      <c r="H41" s="31"/>
      <c r="J41" s="37" t="s">
        <v>10</v>
      </c>
      <c r="K41" s="46">
        <v>0.06</v>
      </c>
      <c r="L41" s="45"/>
    </row>
    <row r="42" spans="2:13" ht="16.5" customHeight="1" x14ac:dyDescent="0.25">
      <c r="B42" s="119"/>
      <c r="C42" s="120"/>
      <c r="D42" s="121"/>
      <c r="E42" s="30"/>
      <c r="F42" s="31"/>
      <c r="G42" s="32"/>
      <c r="H42" s="31"/>
      <c r="J42" s="37" t="s">
        <v>27</v>
      </c>
      <c r="K42" s="14">
        <f>K31+2*K32</f>
        <v>8.672373887240342</v>
      </c>
      <c r="L42" s="47"/>
      <c r="M42" s="47"/>
    </row>
    <row r="43" spans="2:13" ht="16.5" customHeight="1" x14ac:dyDescent="0.25">
      <c r="B43" s="119"/>
      <c r="C43" s="120"/>
      <c r="D43" s="121"/>
      <c r="E43" s="30"/>
      <c r="F43" s="31"/>
      <c r="G43" s="32"/>
      <c r="H43" s="31"/>
      <c r="J43" s="37" t="s">
        <v>9</v>
      </c>
      <c r="K43" s="14">
        <f>K30/K42</f>
        <v>0.75090166598804087</v>
      </c>
      <c r="L43" s="47"/>
      <c r="M43" s="47"/>
    </row>
    <row r="44" spans="2:13" ht="16.5" customHeight="1" x14ac:dyDescent="0.25">
      <c r="B44" s="119"/>
      <c r="C44" s="120"/>
      <c r="D44" s="121"/>
      <c r="E44" s="30"/>
      <c r="F44" s="31"/>
      <c r="G44" s="32"/>
      <c r="H44" s="31"/>
      <c r="J44" s="37" t="s">
        <v>80</v>
      </c>
      <c r="K44" s="14">
        <f>K30*1.49*(K43^0.667)*(K40^0.5)/K41</f>
        <v>3.4492474805779474</v>
      </c>
    </row>
    <row r="45" spans="2:13" ht="16.5" customHeight="1" x14ac:dyDescent="0.25">
      <c r="B45" s="119"/>
      <c r="C45" s="120"/>
      <c r="D45" s="121"/>
      <c r="E45" s="30"/>
      <c r="F45" s="31"/>
      <c r="G45" s="32"/>
      <c r="H45" s="31"/>
      <c r="J45" s="37" t="s">
        <v>81</v>
      </c>
      <c r="K45" s="14">
        <f>K44/K30</f>
        <v>0.52966746219775052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3.1237509305102499E-2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1.6545492279012256E-2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2.5377531238018496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7.6650175502733955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  <mergeCell ref="B18:F18"/>
    <mergeCell ref="B19:F19"/>
    <mergeCell ref="B20:F20"/>
    <mergeCell ref="B21:F21"/>
    <mergeCell ref="B15:F15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G23:I23"/>
    <mergeCell ref="G18:I18"/>
    <mergeCell ref="G19:I19"/>
    <mergeCell ref="G20:I20"/>
    <mergeCell ref="G21:I21"/>
    <mergeCell ref="G22:I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D1" sqref="D1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9" t="s">
        <v>17</v>
      </c>
      <c r="K5" s="180"/>
      <c r="L5" s="183" t="s">
        <v>47</v>
      </c>
      <c r="M5" s="184"/>
      <c r="N5" s="184"/>
      <c r="O5" s="184"/>
      <c r="P5" s="184"/>
      <c r="Q5" s="184"/>
      <c r="R5" s="184"/>
      <c r="S5" s="185"/>
      <c r="T5" s="178" t="s">
        <v>34</v>
      </c>
      <c r="U5" s="178"/>
      <c r="V5" s="178"/>
    </row>
    <row r="6" spans="2:22" ht="16.5" customHeight="1" thickTop="1" thickBot="1" x14ac:dyDescent="0.35">
      <c r="B6" s="71" t="s">
        <v>12</v>
      </c>
      <c r="C6" s="72"/>
      <c r="D6" s="73"/>
      <c r="F6" s="181" t="s">
        <v>28</v>
      </c>
      <c r="G6" s="182"/>
      <c r="H6" s="72">
        <f>H7/H11</f>
        <v>38.461538461538467</v>
      </c>
      <c r="I6" s="70"/>
      <c r="J6" s="180"/>
      <c r="K6" s="180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45</v>
      </c>
      <c r="I7" s="67"/>
      <c r="J7" s="179" t="s">
        <v>85</v>
      </c>
      <c r="K7" s="179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0.03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6.6666666666666664E-4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7.7999999999999988E-4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6" t="s">
        <v>33</v>
      </c>
      <c r="G11" s="177"/>
      <c r="H11" s="31">
        <v>1.17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79" t="s">
        <v>17</v>
      </c>
      <c r="C5" s="183" t="s">
        <v>35</v>
      </c>
      <c r="D5" s="184"/>
      <c r="E5" s="184"/>
      <c r="F5" s="184"/>
      <c r="G5" s="184"/>
      <c r="H5" s="178" t="s">
        <v>34</v>
      </c>
      <c r="I5" s="178"/>
      <c r="J5" s="178"/>
    </row>
    <row r="6" spans="2:10" ht="16.5" customHeight="1" thickBot="1" x14ac:dyDescent="0.3">
      <c r="B6" s="186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