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F31" i="81" l="1"/>
  <c r="G31" i="81"/>
  <c r="H31" i="81" s="1"/>
  <c r="F32" i="81"/>
  <c r="G32" i="81"/>
  <c r="H32" i="81"/>
  <c r="F33" i="81"/>
  <c r="G33" i="81"/>
  <c r="H33" i="81"/>
  <c r="F34" i="81"/>
  <c r="H34" i="81" s="1"/>
  <c r="G34" i="81"/>
  <c r="F35" i="81"/>
  <c r="G35" i="81"/>
  <c r="H35" i="81" s="1"/>
  <c r="F36" i="81"/>
  <c r="G36" i="81"/>
  <c r="H36" i="81"/>
  <c r="F37" i="81"/>
  <c r="G37" i="81"/>
  <c r="H37" i="81"/>
  <c r="F38" i="81"/>
  <c r="H38" i="81" s="1"/>
  <c r="G38" i="81"/>
  <c r="F39" i="81"/>
  <c r="G39" i="81"/>
  <c r="H39" i="81" s="1"/>
  <c r="F40" i="81"/>
  <c r="G40" i="81"/>
  <c r="H40" i="81"/>
  <c r="F41" i="81"/>
  <c r="G41" i="81"/>
  <c r="H41" i="81"/>
  <c r="K29" i="81" l="1"/>
  <c r="K31" i="81"/>
  <c r="G15" i="81" s="1"/>
  <c r="C23" i="73" s="1"/>
  <c r="K40" i="81"/>
  <c r="G12" i="81"/>
  <c r="C20" i="73" s="1"/>
  <c r="G14" i="81"/>
  <c r="C22" i="73" s="1"/>
  <c r="L30" i="70"/>
  <c r="L23" i="70"/>
  <c r="M30" i="70"/>
  <c r="N30" i="70"/>
  <c r="U8" i="70"/>
  <c r="D41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 s="1"/>
  <c r="H9" i="84"/>
  <c r="C37" i="73" s="1"/>
  <c r="J9" i="84"/>
  <c r="E37" i="73" s="1"/>
  <c r="E38" i="73" s="1"/>
  <c r="J8" i="84"/>
  <c r="E35" i="73"/>
  <c r="I8" i="84"/>
  <c r="D35" i="73" s="1"/>
  <c r="H8" i="84"/>
  <c r="C35" i="73"/>
  <c r="J7" i="84"/>
  <c r="E33" i="73" s="1"/>
  <c r="I7" i="84"/>
  <c r="D33" i="73" s="1"/>
  <c r="H7" i="84"/>
  <c r="C33" i="73" s="1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E42" i="73" s="1"/>
  <c r="D23" i="73"/>
  <c r="E23" i="73"/>
  <c r="E44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D48" i="73"/>
  <c r="E34" i="73"/>
  <c r="D34" i="73"/>
  <c r="D44" i="73"/>
  <c r="D46" i="73"/>
  <c r="D36" i="73"/>
  <c r="C38" i="73"/>
  <c r="D42" i="73"/>
  <c r="C34" i="73"/>
  <c r="C42" i="73"/>
  <c r="E46" i="73"/>
  <c r="E36" i="73"/>
  <c r="C46" i="73"/>
  <c r="C36" i="73"/>
  <c r="C44" i="73"/>
  <c r="D38" i="73"/>
  <c r="G42" i="81"/>
  <c r="F42" i="81"/>
  <c r="H42" i="81"/>
  <c r="G7" i="81"/>
  <c r="C15" i="73" s="1"/>
  <c r="K34" i="81" l="1"/>
  <c r="K30" i="81" l="1"/>
  <c r="G6" i="81" s="1"/>
  <c r="C14" i="73" s="1"/>
  <c r="G10" i="81"/>
  <c r="C18" i="73" s="1"/>
  <c r="K37" i="81"/>
  <c r="G13" i="81" s="1"/>
  <c r="C21" i="73" s="1"/>
  <c r="K32" i="81" l="1"/>
  <c r="K35" i="81" s="1"/>
  <c r="G11" i="81" s="1"/>
  <c r="C19" i="73" s="1"/>
  <c r="K42" i="81" l="1"/>
  <c r="K43" i="81" s="1"/>
  <c r="K44" i="81" s="1"/>
  <c r="K45" i="81" s="1"/>
  <c r="G19" i="81" s="1"/>
  <c r="C26" i="73" s="1"/>
  <c r="G8" i="81"/>
  <c r="C16" i="73" s="1"/>
  <c r="K33" i="81"/>
  <c r="G9" i="81" s="1"/>
  <c r="C17" i="73" s="1"/>
  <c r="K46" i="81" l="1"/>
  <c r="G20" i="81" s="1"/>
  <c r="C27" i="73" s="1"/>
  <c r="G18" i="81"/>
  <c r="C25" i="73" s="1"/>
  <c r="K47" i="81" l="1"/>
  <c r="G21" i="81" s="1"/>
  <c r="C28" i="73" s="1"/>
  <c r="K48" i="81"/>
  <c r="G22" i="81" s="1"/>
  <c r="C29" i="73" s="1"/>
  <c r="K49" i="81"/>
  <c r="G23" i="81" s="1"/>
  <c r="C30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<sst xmlns="http://schemas.openxmlformats.org/spreadsheetml/2006/main" count="172" uniqueCount="111">
  <si>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</si>
  <si>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</si>
  <si>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</si>
  <si>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</si>
  <si>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</si>
  <si>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</si>
  <si>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</si>
  <si>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</si>
  <si>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</si>
  <si>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</si>
  <si>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</si>
  <si>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</si>
  <si>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</si>
  <si>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</si>
  <si>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</si>
  <si>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</si>
  <si>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</si>
  <si>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</si>
  <si>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</si>
  <si>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</si>
  <si>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</si>
  <si>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</si>
  <si>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</si>
  <si>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</si>
  <si>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</si>
  <si>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</si>
  <si>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</si>
  <si>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</si>
  <si>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</si>
  <si>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</si>
  <si>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</si>
  <si>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</si>
  <si>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</si>
  <si>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</si>
  <si>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</si>
  <si>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</si>
  <si>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</si>
  <si>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</si>
  <si>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</si>
  <si>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</si>
  <si>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</si>
  <si>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</si>
  <si>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</si>
  <si>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</si>
  <si>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</si>
  <si>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</si>
  <si>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</si>
  <si>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</si>
  <si>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</si>
  <si>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</si>
  <si>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</si>
  <si>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</si>
  <si>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</si>
  <si>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</si>
  <si>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</si>
  <si>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</si>
  <si>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</si>
  <si>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</si>
  <si>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</si>
  <si>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</si>
  <si>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</si>
  <si>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</si>
  <si>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</si>
  <si>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</si>
  <si>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</si>
  <si>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</si>
  <si>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</si>
  <si>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</si>
  <si>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</si>
  <si>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</si>
  <si>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</si>
  <si>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</si>
  <si>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</si>
  <si>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</si>
  <si>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</si>
  <si>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</si>
  <si>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</si>
  <si>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</si>
  <si>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</si>
  <si>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</si>
  <si>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</si>
  <si>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</si>
  <si>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</si>
  <si>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</si>
  <si>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</si>
  <si>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</si>
  <si>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</si>
  <si>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</si>
  <si>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</si>
  <si>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</si>
  <si>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</si>
  <si>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</si>
  <si>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</si>
  <si>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</si>
  <si>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</si>
  <si>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</si>
  <si>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</si>
  <si>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</si>
  <si>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</si>
  <si>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</si>
  <si>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</si>
  <si>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</si>
  <si>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</si>
  <si>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</si>
  <si>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Nicholson Creek, Francis Marion NF</t>
  </si>
  <si>
    <t>33.162119, -79.754408</t>
  </si>
  <si>
    <t>Nicholson Creek</t>
  </si>
  <si>
    <t>sand</t>
  </si>
  <si>
    <t>&gt;439</t>
  </si>
  <si>
    <t>&gt;10.0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</si>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</sst>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12.689999999999998</c:v>
                </c:pt>
                <c:pt idx="2">
                  <c:v>19.359999999999992</c:v>
                </c:pt>
                <c:pt idx="3">
                  <c:v>20.809999999999995</c:v>
                </c:pt>
                <c:pt idx="4">
                  <c:v>25.579999999999991</c:v>
                </c:pt>
                <c:pt idx="5">
                  <c:v>29.85</c:v>
                </c:pt>
                <c:pt idx="6">
                  <c:v>33.199999999999996</c:v>
                </c:pt>
                <c:pt idx="7">
                  <c:v>38.609999999999992</c:v>
                </c:pt>
                <c:pt idx="8">
                  <c:v>44.059999999999995</c:v>
                </c:pt>
                <c:pt idx="9">
                  <c:v>52.910000000000004</c:v>
                </c:pt>
                <c:pt idx="10">
                  <c:v>57.15</c:v>
                </c:pt>
                <c:pt idx="11">
                  <c:v>63.3</c:v>
                </c:pt>
                <c:pt idx="12">
                  <c:v>64.949999999999989</c:v>
                </c:pt>
                <c:pt idx="13">
                  <c:v>87.37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99.41</c:v>
                </c:pt>
                <c:pt idx="1">
                  <c:v>99.11</c:v>
                </c:pt>
                <c:pt idx="2">
                  <c:v>99.19</c:v>
                </c:pt>
                <c:pt idx="3">
                  <c:v>98.97</c:v>
                </c:pt>
                <c:pt idx="4">
                  <c:v>98.06</c:v>
                </c:pt>
                <c:pt idx="5">
                  <c:v>97.19</c:v>
                </c:pt>
                <c:pt idx="6">
                  <c:v>98.21</c:v>
                </c:pt>
                <c:pt idx="7">
                  <c:v>97.49</c:v>
                </c:pt>
                <c:pt idx="8">
                  <c:v>97.77</c:v>
                </c:pt>
                <c:pt idx="9">
                  <c:v>98.05</c:v>
                </c:pt>
                <c:pt idx="10">
                  <c:v>98.73</c:v>
                </c:pt>
                <c:pt idx="11">
                  <c:v>99.19</c:v>
                </c:pt>
                <c:pt idx="12">
                  <c:v>99.32</c:v>
                </c:pt>
                <c:pt idx="13">
                  <c:v>99.21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230848"/>
        <c:axId val="332232024"/>
      </c:scatterChart>
      <c:valAx>
        <c:axId val="33223084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2232024"/>
        <c:crosses val="autoZero"/>
        <c:crossBetween val="midCat"/>
      </c:valAx>
      <c:valAx>
        <c:axId val="3322320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2230848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231240"/>
        <c:axId val="33223006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32231240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2230064"/>
        <c:crosses val="autoZero"/>
        <c:crossBetween val="midCat"/>
        <c:minorUnit val="25"/>
      </c:valAx>
      <c:valAx>
        <c:axId val="33223006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32231240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10" sqref="B10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43838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106</v>
      </c>
      <c r="D6" s="127"/>
      <c r="E6" s="128"/>
    </row>
    <row r="7" spans="2:5" ht="16.95" customHeight="1" x14ac:dyDescent="0.25">
      <c r="B7" s="15" t="s">
        <v>59</v>
      </c>
      <c r="C7" s="129" t="s">
        <v>110</v>
      </c>
      <c r="D7" s="130"/>
      <c r="E7" s="131"/>
    </row>
    <row r="8" spans="2:5" ht="16.95" customHeight="1" x14ac:dyDescent="0.25">
      <c r="B8" s="15" t="s">
        <v>21</v>
      </c>
      <c r="C8" s="132">
        <v>4.99</v>
      </c>
      <c r="D8" s="133"/>
      <c r="E8" s="134"/>
    </row>
    <row r="9" spans="2:5" ht="16.95" customHeight="1" x14ac:dyDescent="0.25">
      <c r="B9" s="15" t="s">
        <v>89</v>
      </c>
      <c r="C9" s="144" t="s">
        <v>107</v>
      </c>
      <c r="D9" s="145"/>
      <c r="E9" s="146"/>
    </row>
    <row r="10" spans="2:5" ht="16.95" customHeight="1" x14ac:dyDescent="0.25">
      <c r="B10" s="15" t="s">
        <v>52</v>
      </c>
      <c r="C10" s="138">
        <f>'Longitudinal Profile'!H9</f>
        <v>1.2676056338028169E-3</v>
      </c>
      <c r="D10" s="139"/>
      <c r="E10" s="140"/>
    </row>
    <row r="11" spans="2:5" ht="16.95" customHeight="1" x14ac:dyDescent="0.25">
      <c r="B11" s="15" t="s">
        <v>53</v>
      </c>
      <c r="C11" s="147">
        <f>'Longitudinal Profile'!H11</f>
        <v>1.1000000000000001</v>
      </c>
      <c r="D11" s="148"/>
      <c r="E11" s="149"/>
    </row>
    <row r="12" spans="2:5" ht="16.95" customHeight="1" thickBot="1" x14ac:dyDescent="0.3">
      <c r="B12" s="15" t="s">
        <v>23</v>
      </c>
      <c r="C12" s="141">
        <f>'Longitudinal Profile'!H7</f>
        <v>284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46.939200000000007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43.940000000000005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1.0682567137005008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41.132435150151686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2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1.8722091556737224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2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1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&gt;439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&gt;10.0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5" t="s">
        <v>54</v>
      </c>
      <c r="D24" s="156"/>
      <c r="E24" s="157"/>
    </row>
    <row r="25" spans="2:5" ht="16.95" customHeight="1" x14ac:dyDescent="0.25">
      <c r="B25" s="40" t="s">
        <v>80</v>
      </c>
      <c r="C25" s="122">
        <f>'Cross-section'!G18</f>
        <v>33.614462453494689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0.71612772381068879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8.0579547632237819E-2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5.7705248031569449E-2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6.5463285411442458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19.772499809813734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3" t="s">
        <v>17</v>
      </c>
      <c r="C31" s="150" t="s">
        <v>57</v>
      </c>
      <c r="D31" s="151"/>
      <c r="E31" s="152"/>
    </row>
    <row r="32" spans="2:5" ht="16.95" customHeight="1" thickBot="1" x14ac:dyDescent="0.3">
      <c r="B32" s="154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110</v>
      </c>
      <c r="D33" s="13">
        <f>'Planform Geometry'!I7</f>
        <v>130</v>
      </c>
      <c r="E33" s="13">
        <f>'Planform Geometry'!J7</f>
        <v>150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#DIV/0!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43</v>
      </c>
      <c r="D35" s="13">
        <f>+'Planform Geometry'!I8</f>
        <v>54</v>
      </c>
      <c r="E35" s="13">
        <f>+'Planform Geometry'!J8</f>
        <v>61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#DIV/0!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64</v>
      </c>
      <c r="D37" s="13">
        <f>+'Planform Geometry'!I9</f>
        <v>88.5</v>
      </c>
      <c r="E37" s="13">
        <f>+'Planform Geometry'!J9</f>
        <v>113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#DIV/0!</v>
      </c>
      <c r="E38" s="14" t="e">
        <f>E37/$D$15</f>
        <v>#DIV/0!</v>
      </c>
    </row>
    <row r="39" spans="2:5" ht="16.95" customHeight="1" thickTop="1" x14ac:dyDescent="0.25">
      <c r="B39" s="153" t="s">
        <v>17</v>
      </c>
      <c r="C39" s="150" t="s">
        <v>58</v>
      </c>
      <c r="D39" s="151"/>
      <c r="E39" s="152"/>
    </row>
    <row r="40" spans="2:5" ht="16.95" customHeight="1" thickBot="1" x14ac:dyDescent="0.3">
      <c r="B40" s="154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3" sqref="H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46.939200000000007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43.940000000000005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1.0682567137005008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41.132435150151686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2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1.8722091556737224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2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1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 t="str">
        <f t="shared" si="0"/>
        <v>&gt;439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 t="str">
        <f t="shared" si="0"/>
        <v>&gt;10.0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58">
        <f>K44</f>
        <v>33.614462453494689</v>
      </c>
      <c r="H18" s="159"/>
      <c r="I18" s="160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2">
        <f t="shared" ref="G19:G23" si="1">K45</f>
        <v>0.71612772381068879</v>
      </c>
      <c r="H19" s="123"/>
      <c r="I19" s="124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2">
        <f t="shared" si="1"/>
        <v>8.0579547632237819E-2</v>
      </c>
      <c r="H20" s="123"/>
      <c r="I20" s="124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2">
        <f t="shared" si="1"/>
        <v>5.7705248031569449E-2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8">
        <f t="shared" si="1"/>
        <v>6.5463285411442458</v>
      </c>
      <c r="H22" s="159"/>
      <c r="I22" s="160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8">
        <f t="shared" si="1"/>
        <v>19.772499809813734</v>
      </c>
      <c r="H23" s="159"/>
      <c r="I23" s="160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99.41</v>
      </c>
      <c r="F29" s="31"/>
      <c r="G29" s="32"/>
      <c r="H29" s="31"/>
      <c r="J29" s="33" t="s">
        <v>15</v>
      </c>
      <c r="K29" s="34">
        <f>LOOKUP("LBKF",B29:E51)</f>
        <v>99.19</v>
      </c>
      <c r="L29" s="35"/>
    </row>
    <row r="30" spans="2:12" ht="16.5" customHeight="1" x14ac:dyDescent="0.25">
      <c r="B30" s="119"/>
      <c r="C30" s="120">
        <v>12.689999999999998</v>
      </c>
      <c r="D30" s="121"/>
      <c r="E30" s="30">
        <v>99.11</v>
      </c>
      <c r="F30" s="31"/>
      <c r="G30" s="32"/>
      <c r="H30" s="31"/>
      <c r="J30" s="37" t="s">
        <v>71</v>
      </c>
      <c r="K30" s="11">
        <f>SUM(H29:H51)</f>
        <v>46.939200000000007</v>
      </c>
      <c r="L30" s="35"/>
    </row>
    <row r="31" spans="2:12" ht="16.5" customHeight="1" x14ac:dyDescent="0.25">
      <c r="B31" s="119" t="s">
        <v>2</v>
      </c>
      <c r="C31" s="120">
        <v>19.359999999999992</v>
      </c>
      <c r="D31" s="121"/>
      <c r="E31" s="30">
        <v>99.19</v>
      </c>
      <c r="F31" s="31">
        <f t="shared" ref="F31:F41" si="2">IF(E31&gt;0,IF(E31&lt;K$29,K$29-E31,0),0)</f>
        <v>0</v>
      </c>
      <c r="G31" s="32">
        <f t="shared" ref="G31:G41" si="3">IF(E31&gt;0,IF(E31&lt;=K$29,C31-C30,0),0)</f>
        <v>6.6699999999999946</v>
      </c>
      <c r="H31" s="31">
        <f t="shared" ref="H31:H41" si="4">IF(E31&lt;=K$29,G31*(F30+F31)/2,0)</f>
        <v>0</v>
      </c>
      <c r="J31" s="37" t="s">
        <v>72</v>
      </c>
      <c r="K31" s="11">
        <f>LOOKUP("RBKF",B29:C51)-LOOKUP("LBKF",B29:C51)</f>
        <v>43.940000000000005</v>
      </c>
      <c r="L31" s="35"/>
    </row>
    <row r="32" spans="2:12" ht="16.5" customHeight="1" x14ac:dyDescent="0.25">
      <c r="B32" s="119"/>
      <c r="C32" s="120">
        <v>20.809999999999995</v>
      </c>
      <c r="D32" s="121"/>
      <c r="E32" s="30">
        <v>98.97</v>
      </c>
      <c r="F32" s="31">
        <f t="shared" si="2"/>
        <v>0.21999999999999886</v>
      </c>
      <c r="G32" s="32">
        <f t="shared" si="3"/>
        <v>1.4500000000000028</v>
      </c>
      <c r="H32" s="31">
        <f t="shared" si="4"/>
        <v>0.15949999999999948</v>
      </c>
      <c r="J32" s="37" t="s">
        <v>73</v>
      </c>
      <c r="K32" s="11">
        <f>K30/K31</f>
        <v>1.0682567137005008</v>
      </c>
      <c r="L32" s="35"/>
    </row>
    <row r="33" spans="2:13" ht="16.5" customHeight="1" x14ac:dyDescent="0.25">
      <c r="B33" s="119"/>
      <c r="C33" s="120">
        <v>25.579999999999991</v>
      </c>
      <c r="D33" s="121"/>
      <c r="E33" s="30">
        <v>98.06</v>
      </c>
      <c r="F33" s="31">
        <f t="shared" si="2"/>
        <v>1.1299999999999955</v>
      </c>
      <c r="G33" s="32">
        <f t="shared" si="3"/>
        <v>4.769999999999996</v>
      </c>
      <c r="H33" s="31">
        <f t="shared" si="4"/>
        <v>3.2197499999999839</v>
      </c>
      <c r="J33" s="37" t="s">
        <v>74</v>
      </c>
      <c r="K33" s="38">
        <f>K31/K32</f>
        <v>41.132435150151686</v>
      </c>
      <c r="L33" s="35"/>
    </row>
    <row r="34" spans="2:13" ht="16.5" customHeight="1" x14ac:dyDescent="0.25">
      <c r="B34" s="119"/>
      <c r="C34" s="120">
        <v>29.85</v>
      </c>
      <c r="D34" s="121"/>
      <c r="E34" s="30">
        <v>97.19</v>
      </c>
      <c r="F34" s="31">
        <f t="shared" si="2"/>
        <v>2</v>
      </c>
      <c r="G34" s="32">
        <f t="shared" si="3"/>
        <v>4.2700000000000102</v>
      </c>
      <c r="H34" s="31">
        <f t="shared" si="4"/>
        <v>6.6825500000000062</v>
      </c>
      <c r="J34" s="37" t="s">
        <v>75</v>
      </c>
      <c r="K34" s="11">
        <f>MAX(F29:F51)</f>
        <v>2</v>
      </c>
      <c r="L34" s="35"/>
    </row>
    <row r="35" spans="2:13" ht="16.5" customHeight="1" x14ac:dyDescent="0.25">
      <c r="B35" s="119"/>
      <c r="C35" s="120">
        <v>33.199999999999996</v>
      </c>
      <c r="D35" s="121"/>
      <c r="E35" s="30">
        <v>98.21</v>
      </c>
      <c r="F35" s="31">
        <f t="shared" si="2"/>
        <v>0.98000000000000398</v>
      </c>
      <c r="G35" s="32">
        <f t="shared" si="3"/>
        <v>3.3499999999999943</v>
      </c>
      <c r="H35" s="31">
        <f t="shared" si="4"/>
        <v>4.9914999999999985</v>
      </c>
      <c r="J35" s="37" t="s">
        <v>76</v>
      </c>
      <c r="K35" s="39">
        <f>K34/K32</f>
        <v>1.8722091556737224</v>
      </c>
      <c r="L35" s="35"/>
    </row>
    <row r="36" spans="2:13" ht="16.5" customHeight="1" x14ac:dyDescent="0.25">
      <c r="B36" s="119"/>
      <c r="C36" s="120">
        <v>38.609999999999992</v>
      </c>
      <c r="D36" s="121"/>
      <c r="E36" s="30">
        <v>97.49</v>
      </c>
      <c r="F36" s="31">
        <f t="shared" si="2"/>
        <v>1.7000000000000028</v>
      </c>
      <c r="G36" s="32">
        <f t="shared" si="3"/>
        <v>5.4099999999999966</v>
      </c>
      <c r="H36" s="31">
        <f t="shared" si="4"/>
        <v>7.2494000000000138</v>
      </c>
      <c r="J36" s="40" t="s">
        <v>25</v>
      </c>
      <c r="K36" s="41">
        <v>2</v>
      </c>
      <c r="L36" s="35"/>
    </row>
    <row r="37" spans="2:13" ht="16.5" customHeight="1" x14ac:dyDescent="0.25">
      <c r="B37" s="119"/>
      <c r="C37" s="120">
        <v>44.059999999999995</v>
      </c>
      <c r="D37" s="121"/>
      <c r="E37" s="30">
        <v>97.77</v>
      </c>
      <c r="F37" s="31">
        <f t="shared" si="2"/>
        <v>1.4200000000000017</v>
      </c>
      <c r="G37" s="32">
        <f t="shared" si="3"/>
        <v>5.4500000000000028</v>
      </c>
      <c r="H37" s="31">
        <f t="shared" si="4"/>
        <v>8.5020000000000167</v>
      </c>
      <c r="J37" s="40" t="s">
        <v>77</v>
      </c>
      <c r="K37" s="42">
        <f>+K36/K34</f>
        <v>1</v>
      </c>
      <c r="L37" s="35"/>
    </row>
    <row r="38" spans="2:13" ht="16.5" customHeight="1" x14ac:dyDescent="0.25">
      <c r="B38" s="119"/>
      <c r="C38" s="120">
        <v>52.910000000000004</v>
      </c>
      <c r="D38" s="121"/>
      <c r="E38" s="30">
        <v>98.05</v>
      </c>
      <c r="F38" s="31">
        <f t="shared" si="2"/>
        <v>1.1400000000000006</v>
      </c>
      <c r="G38" s="32">
        <f t="shared" si="3"/>
        <v>8.8500000000000085</v>
      </c>
      <c r="H38" s="31">
        <f t="shared" si="4"/>
        <v>11.328000000000021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57.15</v>
      </c>
      <c r="D39" s="121"/>
      <c r="E39" s="30">
        <v>98.73</v>
      </c>
      <c r="F39" s="31">
        <f t="shared" si="2"/>
        <v>0.45999999999999375</v>
      </c>
      <c r="G39" s="32">
        <f t="shared" si="3"/>
        <v>4.2399999999999949</v>
      </c>
      <c r="H39" s="31">
        <f t="shared" si="4"/>
        <v>3.3919999999999839</v>
      </c>
      <c r="J39" s="37" t="s">
        <v>79</v>
      </c>
      <c r="K39" s="11" t="s">
        <v>109</v>
      </c>
      <c r="L39" s="35"/>
    </row>
    <row r="40" spans="2:13" ht="16.5" customHeight="1" x14ac:dyDescent="0.25">
      <c r="B40" s="119" t="s">
        <v>3</v>
      </c>
      <c r="C40" s="120">
        <v>63.3</v>
      </c>
      <c r="D40" s="121"/>
      <c r="E40" s="30">
        <v>99.19</v>
      </c>
      <c r="F40" s="31">
        <f t="shared" si="2"/>
        <v>0</v>
      </c>
      <c r="G40" s="32">
        <f t="shared" si="3"/>
        <v>6.1499999999999986</v>
      </c>
      <c r="H40" s="31">
        <f t="shared" si="4"/>
        <v>1.4144999999999806</v>
      </c>
      <c r="J40" s="37" t="s">
        <v>8</v>
      </c>
      <c r="K40" s="108">
        <f>+'Longitudinal Profile'!$H$9</f>
        <v>1.2676056338028169E-3</v>
      </c>
      <c r="L40" s="45"/>
    </row>
    <row r="41" spans="2:13" ht="16.5" customHeight="1" x14ac:dyDescent="0.25">
      <c r="B41" s="119"/>
      <c r="C41" s="120">
        <v>64.949999999999989</v>
      </c>
      <c r="D41" s="121"/>
      <c r="E41" s="30">
        <v>99.32</v>
      </c>
      <c r="F41" s="31">
        <f t="shared" si="2"/>
        <v>0</v>
      </c>
      <c r="G41" s="32">
        <f t="shared" si="3"/>
        <v>0</v>
      </c>
      <c r="H41" s="31">
        <f t="shared" si="4"/>
        <v>0</v>
      </c>
      <c r="J41" s="37" t="s">
        <v>10</v>
      </c>
      <c r="K41" s="46">
        <v>7.4999999999999997E-2</v>
      </c>
      <c r="L41" s="45"/>
    </row>
    <row r="42" spans="2:13" ht="16.5" customHeight="1" x14ac:dyDescent="0.25">
      <c r="B42" s="119"/>
      <c r="C42" s="120">
        <v>87.37</v>
      </c>
      <c r="D42" s="121"/>
      <c r="E42" s="30">
        <v>99.21</v>
      </c>
      <c r="F42" s="31">
        <f t="shared" ref="F42" si="5">IF(E42&gt;0,IF(E42&lt;K$29,K$29-E42,0),0)</f>
        <v>0</v>
      </c>
      <c r="G42" s="32">
        <f t="shared" ref="G42" si="6">IF(E42&gt;0,IF(E42&lt;=K$29,C42-C41,0),0)</f>
        <v>0</v>
      </c>
      <c r="H42" s="31">
        <f t="shared" ref="H42" si="7">IF(E42&lt;=K$29,G42*(F41+F42)/2,0)</f>
        <v>0</v>
      </c>
      <c r="J42" s="37" t="s">
        <v>27</v>
      </c>
      <c r="K42" s="14">
        <f>K31+2*K32</f>
        <v>46.076513427401004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1.018722913441753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33.614462453494689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0.71612772381068879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8.0579547632237819E-2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5.7705248031569449E-2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6.5463285411442458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19.772499809813734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3" sqref="E3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258.18181818181819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284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0.36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1.2676056338028169E-3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1.3943661971830986E-3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1.1000000000000001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J9" sqref="J9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>
        <v>110</v>
      </c>
      <c r="D7" s="102">
        <v>150</v>
      </c>
      <c r="E7" s="102"/>
      <c r="F7" s="102"/>
      <c r="G7" s="102"/>
      <c r="H7" s="13">
        <f>MIN(C7:G7)</f>
        <v>110</v>
      </c>
      <c r="I7" s="13">
        <f>MEDIAN(C7:G7)</f>
        <v>130</v>
      </c>
      <c r="J7" s="13">
        <f>MAX(C7:G7)</f>
        <v>150</v>
      </c>
    </row>
    <row r="8" spans="2:10" ht="16.5" customHeight="1" x14ac:dyDescent="0.25">
      <c r="B8" s="40" t="s">
        <v>26</v>
      </c>
      <c r="C8" s="102">
        <v>61</v>
      </c>
      <c r="D8" s="102">
        <v>54</v>
      </c>
      <c r="E8" s="102">
        <v>43</v>
      </c>
      <c r="F8" s="102">
        <v>54</v>
      </c>
      <c r="G8" s="102"/>
      <c r="H8" s="13">
        <f>MIN(C8:G8)</f>
        <v>43</v>
      </c>
      <c r="I8" s="13">
        <f>MEDIAN(C8:G8)</f>
        <v>54</v>
      </c>
      <c r="J8" s="13">
        <f>MAX(C8:G8)</f>
        <v>61</v>
      </c>
    </row>
    <row r="9" spans="2:10" ht="16.5" customHeight="1" x14ac:dyDescent="0.25">
      <c r="B9" s="40" t="s">
        <v>88</v>
      </c>
      <c r="C9" s="102">
        <v>113</v>
      </c>
      <c r="D9" s="102">
        <v>64</v>
      </c>
      <c r="E9" s="102"/>
      <c r="F9" s="102"/>
      <c r="G9" s="102"/>
      <c r="H9" s="13">
        <f>MIN(C9:G9)</f>
        <v>64</v>
      </c>
      <c r="I9" s="13">
        <f>MEDIAN(C9:G9)</f>
        <v>88.5</v>
      </c>
      <c r="J9" s="13">
        <f>MAX(C9:G9)</f>
        <v>113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