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H9" i="84"/>
  <c r="C37" i="73"/>
  <c r="C38" i="73" s="1"/>
  <c r="J9" i="84"/>
  <c r="E37" i="73" s="1"/>
  <c r="E38" i="73" s="1"/>
  <c r="J8" i="84"/>
  <c r="E35" i="73"/>
  <c r="E36" i="73" s="1"/>
  <c r="I8" i="84"/>
  <c r="D35" i="73" s="1"/>
  <c r="H8" i="84"/>
  <c r="C35" i="73"/>
  <c r="C36" i="73" s="1"/>
  <c r="J7" i="84"/>
  <c r="E33" i="73" s="1"/>
  <c r="E34" i="73" s="1"/>
  <c r="I7" i="84"/>
  <c r="D33" i="73" s="1"/>
  <c r="D34" i="73" s="1"/>
  <c r="H7" i="84"/>
  <c r="C33" i="73" s="1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42" i="73" s="1"/>
  <c r="D23" i="73"/>
  <c r="E23" i="73"/>
  <c r="C46" i="73"/>
  <c r="E46" i="73"/>
  <c r="D4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F30" i="81"/>
  <c r="G31" i="81"/>
  <c r="G33" i="81"/>
  <c r="F35" i="81"/>
  <c r="G36" i="81"/>
  <c r="G38" i="81"/>
  <c r="F33" i="81"/>
  <c r="F36" i="81"/>
  <c r="G30" i="81"/>
  <c r="F32" i="81"/>
  <c r="F34" i="81"/>
  <c r="G35" i="81"/>
  <c r="H35" i="81" s="1"/>
  <c r="F37" i="81"/>
  <c r="H38" i="81"/>
  <c r="H34" i="81"/>
  <c r="H30" i="81"/>
  <c r="G32" i="81"/>
  <c r="G34" i="81"/>
  <c r="G37" i="81"/>
  <c r="F31" i="81"/>
  <c r="F38" i="81"/>
  <c r="D36" i="73"/>
  <c r="C44" i="73"/>
  <c r="D38" i="73"/>
  <c r="E42" i="73"/>
  <c r="E44" i="73"/>
  <c r="D42" i="73"/>
  <c r="C34" i="73"/>
  <c r="G39" i="81"/>
  <c r="F39" i="81"/>
  <c r="G7" i="81"/>
  <c r="C15" i="73" s="1"/>
  <c r="H39" i="81"/>
  <c r="H37" i="81" l="1"/>
  <c r="H33" i="81"/>
  <c r="H31" i="81"/>
  <c r="H32" i="81"/>
  <c r="H36" i="81"/>
  <c r="K34" i="81"/>
  <c r="K30" i="81" l="1"/>
  <c r="K32" i="81" s="1"/>
  <c r="K37" i="81"/>
  <c r="G13" i="81" s="1"/>
  <c r="C21" i="73" s="1"/>
  <c r="G10" i="81"/>
  <c r="C18" i="73" s="1"/>
  <c r="K42" i="81" l="1"/>
  <c r="K43" i="81" s="1"/>
  <c r="K46" i="81" s="1"/>
  <c r="G8" i="81"/>
  <c r="C16" i="73" s="1"/>
  <c r="K33" i="81"/>
  <c r="G9" i="81" s="1"/>
  <c r="C17" i="73" s="1"/>
  <c r="K35" i="81"/>
  <c r="G11" i="81" s="1"/>
  <c r="C19" i="73" s="1"/>
  <c r="G6" i="81"/>
  <c r="C14" i="73" s="1"/>
  <c r="K44" i="81" l="1"/>
  <c r="G18" i="81" s="1"/>
  <c r="C25" i="73" s="1"/>
  <c r="K48" i="81"/>
  <c r="G22" i="81" s="1"/>
  <c r="C29" i="73" s="1"/>
  <c r="G20" i="81"/>
  <c r="C27" i="73" s="1"/>
  <c r="K49" i="81"/>
  <c r="G23" i="81" s="1"/>
  <c r="C30" i="73" s="1"/>
  <c r="K45" i="81" l="1"/>
  <c r="G19" i="81" s="1"/>
  <c r="C26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<sst xmlns="http://schemas.openxmlformats.org/spreadsheetml/2006/main" count="172" uniqueCount="111">
  <si>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</si>
  <si>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</si>
  <si>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</si>
  <si>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</si>
  <si>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</si>
  <si>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</si>
  <si>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</si>
  <si>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</si>
  <si>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</si>
  <si>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</si>
  <si>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</si>
  <si>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</si>
  <si>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</si>
  <si>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</si>
  <si>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</si>
  <si>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</si>
  <si>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</si>
  <si>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</si>
  <si>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</si>
  <si>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</si>
  <si>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</si>
  <si>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</si>
  <si>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</si>
  <si>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</si>
  <si>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</si>
  <si>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</si>
  <si>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</si>
  <si>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</si>
  <si>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</si>
  <si>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</si>
  <si>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</si>
  <si>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</si>
  <si>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</si>
  <si>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</si>
  <si>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</si>
  <si>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</si>
  <si>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</si>
  <si>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</si>
  <si>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</si>
  <si>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</si>
  <si>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</si>
  <si>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</si>
  <si>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</si>
  <si>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</si>
  <si>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</si>
  <si>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</si>
  <si>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</si>
  <si>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</si>
  <si>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</si>
  <si>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</si>
  <si>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</si>
  <si>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</si>
  <si>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</si>
  <si>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</si>
  <si>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</si>
  <si>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</si>
  <si>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</si>
  <si>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</si>
  <si>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</si>
  <si>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</si>
  <si>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</si>
  <si>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</si>
  <si>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</si>
  <si>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</si>
  <si>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</si>
  <si>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</si>
  <si>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</si>
  <si>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</si>
  <si>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</si>
  <si>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</si>
  <si>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</si>
  <si>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</si>
  <si>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</si>
  <si>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</si>
  <si>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</si>
  <si>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</si>
  <si>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</si>
  <si>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</si>
  <si>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</si>
  <si>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</si>
  <si>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</si>
  <si>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</si>
  <si>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</si>
  <si>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</si>
  <si>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</si>
  <si>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</si>
  <si>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</si>
  <si>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</si>
  <si>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</si>
  <si>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</si>
  <si>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</si>
  <si>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</si>
  <si>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</si>
  <si>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</si>
  <si>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</si>
  <si>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</si>
  <si>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</si>
  <si>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</si>
  <si>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</si>
  <si>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</si>
  <si>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</si>
  <si>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</si>
  <si>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</si>
  <si>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</si>
  <si>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Tyler Creek, SCDNR Fish Site</t>
  </si>
  <si>
    <t>33.689045, -79.257043</t>
  </si>
  <si>
    <t>Tyler Creek</t>
  </si>
  <si>
    <t>sand</t>
  </si>
  <si>
    <t>&gt;220</t>
  </si>
  <si>
    <t>&gt;10.0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</si>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</sst>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11.31</c:v>
                </c:pt>
                <c:pt idx="2">
                  <c:v>18.53</c:v>
                </c:pt>
                <c:pt idx="3">
                  <c:v>20.010000000000002</c:v>
                </c:pt>
                <c:pt idx="4">
                  <c:v>21.07</c:v>
                </c:pt>
                <c:pt idx="5">
                  <c:v>24.96</c:v>
                </c:pt>
                <c:pt idx="6">
                  <c:v>29.79</c:v>
                </c:pt>
                <c:pt idx="7">
                  <c:v>31.7</c:v>
                </c:pt>
                <c:pt idx="8">
                  <c:v>33.299999999999997</c:v>
                </c:pt>
                <c:pt idx="9">
                  <c:v>33.659999999999997</c:v>
                </c:pt>
                <c:pt idx="10">
                  <c:v>42.91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99.91</c:v>
                </c:pt>
                <c:pt idx="1">
                  <c:v>100</c:v>
                </c:pt>
                <c:pt idx="2">
                  <c:v>99.7</c:v>
                </c:pt>
                <c:pt idx="3">
                  <c:v>99.13</c:v>
                </c:pt>
                <c:pt idx="4">
                  <c:v>98.62</c:v>
                </c:pt>
                <c:pt idx="5">
                  <c:v>98.33</c:v>
                </c:pt>
                <c:pt idx="6">
                  <c:v>98.47</c:v>
                </c:pt>
                <c:pt idx="7">
                  <c:v>99.46</c:v>
                </c:pt>
                <c:pt idx="8">
                  <c:v>100</c:v>
                </c:pt>
                <c:pt idx="9">
                  <c:v>100.13</c:v>
                </c:pt>
                <c:pt idx="10">
                  <c:v>100.21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79400"/>
        <c:axId val="338378224"/>
      </c:scatterChart>
      <c:valAx>
        <c:axId val="3383794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8378224"/>
        <c:crosses val="autoZero"/>
        <c:crossBetween val="midCat"/>
      </c:valAx>
      <c:valAx>
        <c:axId val="338378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837940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79792"/>
        <c:axId val="33838018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837979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8380184"/>
        <c:crosses val="autoZero"/>
        <c:crossBetween val="midCat"/>
        <c:minorUnit val="25"/>
      </c:valAx>
      <c:valAx>
        <c:axId val="3383801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837979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110</v>
      </c>
      <c r="D7" s="138"/>
      <c r="E7" s="139"/>
    </row>
    <row r="8" spans="2:5" ht="16.95" customHeight="1" x14ac:dyDescent="0.25">
      <c r="B8" s="15" t="s">
        <v>21</v>
      </c>
      <c r="C8" s="140">
        <v>2.78</v>
      </c>
      <c r="D8" s="141"/>
      <c r="E8" s="142"/>
    </row>
    <row r="9" spans="2:5" ht="16.95" customHeight="1" x14ac:dyDescent="0.25">
      <c r="B9" s="15" t="s">
        <v>89</v>
      </c>
      <c r="C9" s="152" t="s">
        <v>107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3.0227743271221529E-3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1.35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241.5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19.2104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21.989999999999995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0.87359708958617577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25.171787156956636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1.6700000000000017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1.9116364052804746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1.67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0.99999999999999889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&gt;220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 t="str">
        <f>'Cross-section'!G15</f>
        <v>&gt;10.0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23.561608265048029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1.2265027414862799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0.15265018679609504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0.1872258725938033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12.401388491221608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37.45709523177176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49</v>
      </c>
      <c r="D33" s="13">
        <f>'Planform Geometry'!I7</f>
        <v>56</v>
      </c>
      <c r="E33" s="13">
        <f>'Planform Geometry'!J7</f>
        <v>97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18</v>
      </c>
      <c r="D35" s="13">
        <f>+'Planform Geometry'!I8</f>
        <v>27</v>
      </c>
      <c r="E35" s="13">
        <f>+'Planform Geometry'!J8</f>
        <v>42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28</v>
      </c>
      <c r="D37" s="13">
        <f>+'Planform Geometry'!I9</f>
        <v>28</v>
      </c>
      <c r="E37" s="13">
        <f>+'Planform Geometry'!J9</f>
        <v>46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4" sqref="H4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19.2104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21.989999999999995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0.87359708958617577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25.171787156956636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1.6700000000000017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1.9116364052804746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1.67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0.99999999999999889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 t="str">
        <f t="shared" si="0"/>
        <v>&gt;220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 t="str">
        <f t="shared" si="0"/>
        <v>&gt;10.0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73">
        <f>K44</f>
        <v>23.561608265048029</v>
      </c>
      <c r="H18" s="174"/>
      <c r="I18" s="175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1.2265027414862799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0.15265018679609504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0.1872258725938033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3">
        <f t="shared" si="1"/>
        <v>12.401388491221608</v>
      </c>
      <c r="H22" s="174"/>
      <c r="I22" s="17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3">
        <f t="shared" si="1"/>
        <v>37.45709523177176</v>
      </c>
      <c r="H23" s="174"/>
      <c r="I23" s="17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99.91</v>
      </c>
      <c r="F29" s="31"/>
      <c r="G29" s="32"/>
      <c r="H29" s="31"/>
      <c r="J29" s="33" t="s">
        <v>15</v>
      </c>
      <c r="K29" s="34">
        <f>LOOKUP("LBKF",B29:E51)</f>
        <v>100</v>
      </c>
      <c r="L29" s="35"/>
    </row>
    <row r="30" spans="2:12" ht="16.5" customHeight="1" x14ac:dyDescent="0.25">
      <c r="B30" s="119" t="s">
        <v>2</v>
      </c>
      <c r="C30" s="120">
        <v>11.31</v>
      </c>
      <c r="D30" s="121"/>
      <c r="E30" s="30">
        <v>100</v>
      </c>
      <c r="F30" s="31">
        <f t="shared" ref="F30:F38" si="2">IF(E30&gt;0,IF(E30&lt;K$29,K$29-E30,0),0)</f>
        <v>0</v>
      </c>
      <c r="G30" s="32">
        <f t="shared" ref="G30:G38" si="3">IF(E30&gt;0,IF(E30&lt;=K$29,C30-C29,0),0)</f>
        <v>11.31</v>
      </c>
      <c r="H30" s="31">
        <f t="shared" ref="H30:H38" si="4">IF(E30&lt;=K$29,G30*(F29+F30)/2,0)</f>
        <v>0</v>
      </c>
      <c r="J30" s="37" t="s">
        <v>71</v>
      </c>
      <c r="K30" s="11">
        <f>SUM(H29:H51)</f>
        <v>19.2104</v>
      </c>
      <c r="L30" s="35"/>
    </row>
    <row r="31" spans="2:12" ht="16.5" customHeight="1" x14ac:dyDescent="0.25">
      <c r="B31" s="119"/>
      <c r="C31" s="120">
        <v>18.53</v>
      </c>
      <c r="D31" s="121"/>
      <c r="E31" s="30">
        <v>99.7</v>
      </c>
      <c r="F31" s="31">
        <f t="shared" si="2"/>
        <v>0.29999999999999716</v>
      </c>
      <c r="G31" s="32">
        <f t="shared" si="3"/>
        <v>7.2200000000000006</v>
      </c>
      <c r="H31" s="31">
        <f t="shared" si="4"/>
        <v>1.0829999999999897</v>
      </c>
      <c r="J31" s="37" t="s">
        <v>72</v>
      </c>
      <c r="K31" s="11">
        <f>LOOKUP("RBKF",B29:C51)-LOOKUP("LBKF",B29:C51)</f>
        <v>21.989999999999995</v>
      </c>
      <c r="L31" s="35"/>
    </row>
    <row r="32" spans="2:12" ht="16.5" customHeight="1" x14ac:dyDescent="0.25">
      <c r="B32" s="119"/>
      <c r="C32" s="120">
        <v>20.010000000000002</v>
      </c>
      <c r="D32" s="121"/>
      <c r="E32" s="30">
        <v>99.13</v>
      </c>
      <c r="F32" s="31">
        <f t="shared" si="2"/>
        <v>0.87000000000000455</v>
      </c>
      <c r="G32" s="32">
        <f t="shared" si="3"/>
        <v>1.4800000000000004</v>
      </c>
      <c r="H32" s="31">
        <f t="shared" si="4"/>
        <v>0.86580000000000146</v>
      </c>
      <c r="J32" s="37" t="s">
        <v>73</v>
      </c>
      <c r="K32" s="11">
        <f>K30/K31</f>
        <v>0.87359708958617577</v>
      </c>
      <c r="L32" s="35"/>
    </row>
    <row r="33" spans="2:13" ht="16.5" customHeight="1" x14ac:dyDescent="0.25">
      <c r="B33" s="119"/>
      <c r="C33" s="120">
        <v>21.07</v>
      </c>
      <c r="D33" s="121"/>
      <c r="E33" s="30">
        <v>98.62</v>
      </c>
      <c r="F33" s="31">
        <f t="shared" si="2"/>
        <v>1.3799999999999955</v>
      </c>
      <c r="G33" s="32">
        <f t="shared" si="3"/>
        <v>1.0599999999999987</v>
      </c>
      <c r="H33" s="31">
        <f t="shared" si="4"/>
        <v>1.1924999999999986</v>
      </c>
      <c r="J33" s="37" t="s">
        <v>74</v>
      </c>
      <c r="K33" s="38">
        <f>K31/K32</f>
        <v>25.171787156956636</v>
      </c>
      <c r="L33" s="35"/>
    </row>
    <row r="34" spans="2:13" ht="16.5" customHeight="1" x14ac:dyDescent="0.25">
      <c r="B34" s="119"/>
      <c r="C34" s="120">
        <v>24.96</v>
      </c>
      <c r="D34" s="121"/>
      <c r="E34" s="30">
        <v>98.33</v>
      </c>
      <c r="F34" s="31">
        <f t="shared" si="2"/>
        <v>1.6700000000000017</v>
      </c>
      <c r="G34" s="32">
        <f t="shared" si="3"/>
        <v>3.8900000000000006</v>
      </c>
      <c r="H34" s="31">
        <f t="shared" si="4"/>
        <v>5.9322499999999954</v>
      </c>
      <c r="J34" s="37" t="s">
        <v>75</v>
      </c>
      <c r="K34" s="11">
        <f>MAX(F29:F51)</f>
        <v>1.6700000000000017</v>
      </c>
      <c r="L34" s="35"/>
    </row>
    <row r="35" spans="2:13" ht="16.5" customHeight="1" x14ac:dyDescent="0.25">
      <c r="B35" s="119"/>
      <c r="C35" s="120">
        <v>29.79</v>
      </c>
      <c r="D35" s="121"/>
      <c r="E35" s="30">
        <v>98.47</v>
      </c>
      <c r="F35" s="31">
        <f t="shared" si="2"/>
        <v>1.5300000000000011</v>
      </c>
      <c r="G35" s="32">
        <f t="shared" si="3"/>
        <v>4.8299999999999983</v>
      </c>
      <c r="H35" s="31">
        <f t="shared" si="4"/>
        <v>7.7280000000000042</v>
      </c>
      <c r="J35" s="37" t="s">
        <v>76</v>
      </c>
      <c r="K35" s="39">
        <f>K34/K32</f>
        <v>1.9116364052804746</v>
      </c>
      <c r="L35" s="35"/>
    </row>
    <row r="36" spans="2:13" ht="16.5" customHeight="1" x14ac:dyDescent="0.25">
      <c r="B36" s="119"/>
      <c r="C36" s="120">
        <v>31.7</v>
      </c>
      <c r="D36" s="121"/>
      <c r="E36" s="30">
        <v>99.46</v>
      </c>
      <c r="F36" s="31">
        <f t="shared" si="2"/>
        <v>0.54000000000000625</v>
      </c>
      <c r="G36" s="32">
        <f t="shared" si="3"/>
        <v>1.9100000000000001</v>
      </c>
      <c r="H36" s="31">
        <f t="shared" si="4"/>
        <v>1.9768500000000071</v>
      </c>
      <c r="J36" s="40" t="s">
        <v>25</v>
      </c>
      <c r="K36" s="41">
        <v>1.67</v>
      </c>
      <c r="L36" s="35"/>
    </row>
    <row r="37" spans="2:13" ht="16.5" customHeight="1" x14ac:dyDescent="0.25">
      <c r="B37" s="119" t="s">
        <v>3</v>
      </c>
      <c r="C37" s="120">
        <v>33.299999999999997</v>
      </c>
      <c r="D37" s="121"/>
      <c r="E37" s="30">
        <v>100</v>
      </c>
      <c r="F37" s="31">
        <f t="shared" si="2"/>
        <v>0</v>
      </c>
      <c r="G37" s="32">
        <f t="shared" si="3"/>
        <v>1.5999999999999979</v>
      </c>
      <c r="H37" s="31">
        <f t="shared" si="4"/>
        <v>0.43200000000000444</v>
      </c>
      <c r="J37" s="40" t="s">
        <v>77</v>
      </c>
      <c r="K37" s="42">
        <f>+K36/K34</f>
        <v>0.99999999999999889</v>
      </c>
      <c r="L37" s="35"/>
    </row>
    <row r="38" spans="2:13" ht="16.5" customHeight="1" x14ac:dyDescent="0.25">
      <c r="B38" s="119"/>
      <c r="C38" s="120">
        <v>33.659999999999997</v>
      </c>
      <c r="D38" s="121"/>
      <c r="E38" s="30">
        <v>100.13</v>
      </c>
      <c r="F38" s="31">
        <f t="shared" si="2"/>
        <v>0</v>
      </c>
      <c r="G38" s="32">
        <f t="shared" si="3"/>
        <v>0</v>
      </c>
      <c r="H38" s="31">
        <f t="shared" si="4"/>
        <v>0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42.91</v>
      </c>
      <c r="D39" s="121"/>
      <c r="E39" s="30">
        <v>100.21</v>
      </c>
      <c r="F39" s="31">
        <f t="shared" ref="F39" si="5">IF(E39&gt;0,IF(E39&lt;K$29,K$29-E39,0),0)</f>
        <v>0</v>
      </c>
      <c r="G39" s="32">
        <f t="shared" ref="G39" si="6">IF(E39&gt;0,IF(E39&lt;=K$29,C39-C38,0),0)</f>
        <v>0</v>
      </c>
      <c r="H39" s="31">
        <f t="shared" ref="H39" si="7">IF(E39&lt;=K$29,G39*(F38+F39)/2,0)</f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3.0227743271221529E-3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5.8000000000000003E-2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23.737194179172345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0.80929531329594651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23.561608265048029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1.2265027414862799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0.15265018679609504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0.1872258725938033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12.401388491221608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37.45709523177176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178.88888888888889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241.5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0.73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3.0227743271221529E-3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4.0807453416149067E-3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1.35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J9" sqref="J9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56</v>
      </c>
      <c r="D7" s="102">
        <v>97</v>
      </c>
      <c r="E7" s="102">
        <v>49</v>
      </c>
      <c r="F7" s="102"/>
      <c r="G7" s="102"/>
      <c r="H7" s="13">
        <f>MIN(C7:G7)</f>
        <v>49</v>
      </c>
      <c r="I7" s="13">
        <f>MEDIAN(C7:G7)</f>
        <v>56</v>
      </c>
      <c r="J7" s="13">
        <f>MAX(C7:G7)</f>
        <v>97</v>
      </c>
    </row>
    <row r="8" spans="2:10" ht="16.5" customHeight="1" x14ac:dyDescent="0.25">
      <c r="B8" s="40" t="s">
        <v>26</v>
      </c>
      <c r="C8" s="102">
        <v>18</v>
      </c>
      <c r="D8" s="102">
        <v>42</v>
      </c>
      <c r="E8" s="102">
        <v>26</v>
      </c>
      <c r="F8" s="102">
        <v>33</v>
      </c>
      <c r="G8" s="102">
        <v>27</v>
      </c>
      <c r="H8" s="13">
        <f>MIN(C8:G8)</f>
        <v>18</v>
      </c>
      <c r="I8" s="13">
        <f>MEDIAN(C8:G8)</f>
        <v>27</v>
      </c>
      <c r="J8" s="13">
        <f>MAX(C8:G8)</f>
        <v>42</v>
      </c>
    </row>
    <row r="9" spans="2:10" ht="16.5" customHeight="1" x14ac:dyDescent="0.25">
      <c r="B9" s="40" t="s">
        <v>88</v>
      </c>
      <c r="C9" s="102">
        <v>28</v>
      </c>
      <c r="D9" s="102">
        <v>46</v>
      </c>
      <c r="E9" s="102">
        <v>28</v>
      </c>
      <c r="F9" s="102"/>
      <c r="G9" s="102"/>
      <c r="H9" s="13">
        <f>MIN(C9:G9)</f>
        <v>28</v>
      </c>
      <c r="I9" s="13">
        <f>MEDIAN(C9:G9)</f>
        <v>28</v>
      </c>
      <c r="J9" s="13">
        <f>MAX(C9:G9)</f>
        <v>46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