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3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K29" i="81" l="1"/>
  <c r="K31" i="81"/>
  <c r="G15" i="81" s="1"/>
  <c r="C23" i="73" s="1"/>
  <c r="K40" i="81"/>
  <c r="G12" i="81"/>
  <c r="C20" i="73" s="1"/>
  <c r="G14" i="81"/>
  <c r="L30" i="70"/>
  <c r="L23" i="70"/>
  <c r="M30" i="70"/>
  <c r="N30" i="70"/>
  <c r="U8" i="70"/>
  <c r="D41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 s="1"/>
  <c r="H9" i="84"/>
  <c r="C37" i="73"/>
  <c r="C38" i="73" s="1"/>
  <c r="J9" i="84"/>
  <c r="E37" i="73" s="1"/>
  <c r="E38" i="73" s="1"/>
  <c r="J8" i="84"/>
  <c r="E35" i="73"/>
  <c r="E36" i="73" s="1"/>
  <c r="I8" i="84"/>
  <c r="D35" i="73" s="1"/>
  <c r="H8" i="84"/>
  <c r="C35" i="73"/>
  <c r="C36" i="73" s="1"/>
  <c r="J7" i="84"/>
  <c r="E33" i="73" s="1"/>
  <c r="E34" i="73" s="1"/>
  <c r="I7" i="84"/>
  <c r="D33" i="73" s="1"/>
  <c r="D34" i="73" s="1"/>
  <c r="H7" i="84"/>
  <c r="C33" i="73" s="1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42" i="73" s="1"/>
  <c r="D23" i="73"/>
  <c r="E23" i="73"/>
  <c r="C46" i="73"/>
  <c r="E46" i="73"/>
  <c r="D46" i="73"/>
  <c r="D44" i="73"/>
  <c r="E18" i="73"/>
  <c r="D18" i="73"/>
  <c r="D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F30" i="81"/>
  <c r="G31" i="81"/>
  <c r="G33" i="81"/>
  <c r="F35" i="81"/>
  <c r="G36" i="81"/>
  <c r="G38" i="81"/>
  <c r="F33" i="81"/>
  <c r="F36" i="81"/>
  <c r="G30" i="81"/>
  <c r="F32" i="81"/>
  <c r="F34" i="81"/>
  <c r="G35" i="81"/>
  <c r="H35" i="81" s="1"/>
  <c r="F37" i="81"/>
  <c r="H38" i="81"/>
  <c r="H34" i="81"/>
  <c r="H30" i="81"/>
  <c r="G32" i="81"/>
  <c r="G34" i="81"/>
  <c r="G37" i="81"/>
  <c r="F31" i="81"/>
  <c r="F38" i="81"/>
  <c r="D36" i="73"/>
  <c r="C44" i="73"/>
  <c r="D38" i="73"/>
  <c r="E42" i="73"/>
  <c r="E44" i="73"/>
  <c r="D42" i="73"/>
  <c r="C34" i="73"/>
  <c r="G39" i="81"/>
  <c r="F39" i="81"/>
  <c r="G7" i="81"/>
  <c r="C15" i="73" s="1"/>
  <c r="H39" i="81"/>
  <c r="H37" i="81" l="1"/>
  <c r="H33" i="81"/>
  <c r="H31" i="81"/>
  <c r="H32" i="81"/>
  <c r="H36" i="81"/>
  <c r="K34" i="81"/>
  <c r="K30" i="81" l="1"/>
  <c r="K32" i="81" s="1"/>
  <c r="K37" i="81"/>
  <c r="G13" i="81" s="1"/>
  <c r="C21" i="73" s="1"/>
  <c r="G10" i="81"/>
  <c r="C18" i="73" s="1"/>
  <c r="K42" i="81" l="1"/>
  <c r="K43" i="81" s="1"/>
  <c r="K46" i="81" s="1"/>
  <c r="G8" i="81"/>
  <c r="C16" i="73" s="1"/>
  <c r="K33" i="81"/>
  <c r="G9" i="81" s="1"/>
  <c r="C17" i="73" s="1"/>
  <c r="K35" i="81"/>
  <c r="G11" i="81" s="1"/>
  <c r="C19" i="73" s="1"/>
  <c r="G6" i="81"/>
  <c r="C14" i="73" s="1"/>
  <c r="K44" i="81" l="1"/>
  <c r="G18" i="81" s="1"/>
  <c r="C25" i="73" s="1"/>
  <c r="K48" i="81"/>
  <c r="G22" i="81" s="1"/>
  <c r="C29" i="73" s="1"/>
  <c r="G20" i="81"/>
  <c r="C27" i="73" s="1"/>
  <c r="K49" i="81"/>
  <c r="G23" i="81" s="1"/>
  <c r="C30" i="73" s="1"/>
  <c r="K45" i="81" l="1"/>
  <c r="G19" i="81" s="1"/>
  <c r="C26" i="73" s="1"/>
  <c r="K47" i="81" l="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<sst xmlns="http://schemas.openxmlformats.org/spreadsheetml/2006/main" count="172" uniqueCount="111">
  <si>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</si>
  <si>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</si>
  <si>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</si>
  <si>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</si>
  <si>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</si>
  <si>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</si>
  <si>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</si>
  <si>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</si>
  <si>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</si>
  <si>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</si>
  <si>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</si>
  <si>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</si>
  <si>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</si>
  <si>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</si>
  <si>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</si>
  <si>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</si>
  <si>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</si>
  <si>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</si>
  <si>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</si>
  <si>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</si>
  <si>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</si>
  <si>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</si>
  <si>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</si>
  <si>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</si>
  <si>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</si>
  <si>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</si>
  <si>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</si>
  <si>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</si>
  <si>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</si>
  <si>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</si>
  <si>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</si>
  <si>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</si>
  <si>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</si>
  <si>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</si>
  <si>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</si>
  <si>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</si>
  <si>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</si>
  <si>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</si>
  <si>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</si>
  <si>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</si>
  <si>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</si>
  <si>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</si>
  <si>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</si>
  <si>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</si>
  <si>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</si>
  <si>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</si>
  <si>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</si>
  <si>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</si>
  <si>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</si>
  <si>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</si>
  <si>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</si>
  <si>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</si>
  <si>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</si>
  <si>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</si>
  <si>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</si>
  <si>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</si>
  <si>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</si>
  <si>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</si>
  <si>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</si>
  <si>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</si>
  <si>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</si>
  <si>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</si>
  <si>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</si>
  <si>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</si>
  <si>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</si>
  <si>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</si>
  <si>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</si>
  <si>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</si>
  <si>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</si>
  <si>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</si>
  <si>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</si>
  <si>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</si>
  <si>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</si>
  <si>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</si>
  <si>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</si>
  <si>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</si>
  <si>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</si>
  <si>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</si>
  <si>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</si>
  <si>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</si>
  <si>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</si>
  <si>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</si>
  <si>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</si>
  <si>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</si>
  <si>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</si>
  <si>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</si>
  <si>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</si>
  <si>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</si>
  <si>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</si>
  <si>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</si>
  <si>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</si>
  <si>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</si>
  <si>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</si>
  <si>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</si>
  <si>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</si>
  <si>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</si>
  <si>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</si>
  <si>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</si>
  <si>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</si>
  <si>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</si>
  <si>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</si>
  <si>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</si>
  <si>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</si>
  <si>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</si>
  <si>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Tyler Creek, SCDNR Fish Site</t>
  </si>
  <si>
    <t>33.689045, -79.257043</t>
  </si>
  <si>
    <t>Tyler Creek</t>
  </si>
  <si>
    <t>sand</t>
  </si>
  <si>
    <t>&gt;220</t>
  </si>
  <si>
    <t>&gt;10.0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</si>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</sst>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11.31</c:v>
                </c:pt>
                <c:pt idx="2">
                  <c:v>18.53</c:v>
                </c:pt>
                <c:pt idx="3">
                  <c:v>20.010000000000002</c:v>
                </c:pt>
                <c:pt idx="4">
                  <c:v>21.07</c:v>
                </c:pt>
                <c:pt idx="5">
                  <c:v>24.96</c:v>
                </c:pt>
                <c:pt idx="6">
                  <c:v>29.79</c:v>
                </c:pt>
                <c:pt idx="7">
                  <c:v>31.7</c:v>
                </c:pt>
                <c:pt idx="8">
                  <c:v>33.299999999999997</c:v>
                </c:pt>
                <c:pt idx="9">
                  <c:v>33.659999999999997</c:v>
                </c:pt>
                <c:pt idx="10">
                  <c:v>42.91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99.91</c:v>
                </c:pt>
                <c:pt idx="1">
                  <c:v>100</c:v>
                </c:pt>
                <c:pt idx="2">
                  <c:v>99.7</c:v>
                </c:pt>
                <c:pt idx="3">
                  <c:v>99.13</c:v>
                </c:pt>
                <c:pt idx="4">
                  <c:v>98.62</c:v>
                </c:pt>
                <c:pt idx="5">
                  <c:v>98.33</c:v>
                </c:pt>
                <c:pt idx="6">
                  <c:v>98.47</c:v>
                </c:pt>
                <c:pt idx="7">
                  <c:v>99.46</c:v>
                </c:pt>
                <c:pt idx="8">
                  <c:v>100</c:v>
                </c:pt>
                <c:pt idx="9">
                  <c:v>100.13</c:v>
                </c:pt>
                <c:pt idx="10">
                  <c:v>100.21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79400"/>
        <c:axId val="338378224"/>
      </c:scatterChart>
      <c:valAx>
        <c:axId val="33837940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8378224"/>
        <c:crosses val="autoZero"/>
        <c:crossBetween val="midCat"/>
      </c:valAx>
      <c:valAx>
        <c:axId val="3383782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837940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79792"/>
        <c:axId val="33838018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38379792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8380184"/>
        <c:crosses val="autoZero"/>
        <c:crossBetween val="midCat"/>
        <c:minorUnit val="25"/>
      </c:valAx>
      <c:valAx>
        <c:axId val="33838018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38379792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1" sqref="B1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43858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33" t="s">
        <v>50</v>
      </c>
      <c r="D5" s="133"/>
      <c r="E5" s="133"/>
    </row>
    <row r="6" spans="2:5" ht="16.95" customHeight="1" thickTop="1" x14ac:dyDescent="0.25">
      <c r="B6" s="15" t="s">
        <v>60</v>
      </c>
      <c r="C6" s="134" t="s">
        <v>106</v>
      </c>
      <c r="D6" s="135"/>
      <c r="E6" s="136"/>
    </row>
    <row r="7" spans="2:5" ht="16.95" customHeight="1" x14ac:dyDescent="0.25">
      <c r="B7" s="15" t="s">
        <v>59</v>
      </c>
      <c r="C7" s="137" t="s">
        <v>110</v>
      </c>
      <c r="D7" s="138"/>
      <c r="E7" s="139"/>
    </row>
    <row r="8" spans="2:5" ht="16.95" customHeight="1" x14ac:dyDescent="0.25">
      <c r="B8" s="15" t="s">
        <v>21</v>
      </c>
      <c r="C8" s="140">
        <v>2.78</v>
      </c>
      <c r="D8" s="141"/>
      <c r="E8" s="142"/>
    </row>
    <row r="9" spans="2:5" ht="16.95" customHeight="1" x14ac:dyDescent="0.25">
      <c r="B9" s="15" t="s">
        <v>89</v>
      </c>
      <c r="C9" s="152" t="s">
        <v>107</v>
      </c>
      <c r="D9" s="153"/>
      <c r="E9" s="154"/>
    </row>
    <row r="10" spans="2:5" ht="16.95" customHeight="1" x14ac:dyDescent="0.25">
      <c r="B10" s="15" t="s">
        <v>52</v>
      </c>
      <c r="C10" s="146">
        <f>'Longitudinal Profile'!H9</f>
        <v>3.0227743271221529E-3</v>
      </c>
      <c r="D10" s="147"/>
      <c r="E10" s="148"/>
    </row>
    <row r="11" spans="2:5" ht="16.95" customHeight="1" x14ac:dyDescent="0.25">
      <c r="B11" s="15" t="s">
        <v>53</v>
      </c>
      <c r="C11" s="155">
        <f>'Longitudinal Profile'!H11</f>
        <v>1.35</v>
      </c>
      <c r="D11" s="156"/>
      <c r="E11" s="157"/>
    </row>
    <row r="12" spans="2:5" ht="16.95" customHeight="1" thickBot="1" x14ac:dyDescent="0.3">
      <c r="B12" s="15" t="s">
        <v>23</v>
      </c>
      <c r="C12" s="149">
        <f>'Longitudinal Profile'!H7</f>
        <v>241.5</v>
      </c>
      <c r="D12" s="150"/>
      <c r="E12" s="151"/>
    </row>
    <row r="13" spans="2:5" ht="16.95" customHeight="1" thickTop="1" x14ac:dyDescent="0.25">
      <c r="B13" s="116" t="s">
        <v>17</v>
      </c>
      <c r="C13" s="143" t="s">
        <v>64</v>
      </c>
      <c r="D13" s="144"/>
      <c r="E13" s="145"/>
    </row>
    <row r="14" spans="2:5" ht="16.95" customHeight="1" x14ac:dyDescent="0.25">
      <c r="B14" s="114" t="s">
        <v>71</v>
      </c>
      <c r="C14" s="130">
        <f>'Cross-section'!G6</f>
        <v>19.2104</v>
      </c>
      <c r="D14" s="131"/>
      <c r="E14" s="132"/>
    </row>
    <row r="15" spans="2:5" ht="16.95" customHeight="1" x14ac:dyDescent="0.25">
      <c r="B15" s="40" t="s">
        <v>72</v>
      </c>
      <c r="C15" s="130">
        <f>'Cross-section'!G7</f>
        <v>21.989999999999995</v>
      </c>
      <c r="D15" s="131">
        <f>'Cross-section'!H7</f>
        <v>0</v>
      </c>
      <c r="E15" s="132">
        <f>'Cross-section'!I7</f>
        <v>0</v>
      </c>
    </row>
    <row r="16" spans="2:5" ht="16.95" customHeight="1" x14ac:dyDescent="0.25">
      <c r="B16" s="40" t="s">
        <v>73</v>
      </c>
      <c r="C16" s="130">
        <f>'Cross-section'!G8</f>
        <v>0.87359708958617577</v>
      </c>
      <c r="D16" s="131">
        <f>'Cross-section'!H8</f>
        <v>0</v>
      </c>
      <c r="E16" s="132">
        <f>'Cross-section'!I8</f>
        <v>0</v>
      </c>
    </row>
    <row r="17" spans="2:5" ht="16.95" customHeight="1" x14ac:dyDescent="0.25">
      <c r="B17" s="40" t="s">
        <v>74</v>
      </c>
      <c r="C17" s="130">
        <f>'Cross-section'!G9</f>
        <v>25.171787156956636</v>
      </c>
      <c r="D17" s="131">
        <f>'Cross-section'!H9</f>
        <v>0</v>
      </c>
      <c r="E17" s="132">
        <f>'Cross-section'!I9</f>
        <v>0</v>
      </c>
    </row>
    <row r="18" spans="2:5" ht="16.95" customHeight="1" x14ac:dyDescent="0.25">
      <c r="B18" s="40" t="s">
        <v>75</v>
      </c>
      <c r="C18" s="130">
        <f>'Cross-section'!G10</f>
        <v>1.6700000000000017</v>
      </c>
      <c r="D18" s="131">
        <f>'Cross-section'!H10</f>
        <v>0</v>
      </c>
      <c r="E18" s="132">
        <f>'Cross-section'!I10</f>
        <v>0</v>
      </c>
    </row>
    <row r="19" spans="2:5" ht="16.95" customHeight="1" x14ac:dyDescent="0.25">
      <c r="B19" s="40" t="s">
        <v>76</v>
      </c>
      <c r="C19" s="130">
        <f>'Cross-section'!G11</f>
        <v>1.9116364052804746</v>
      </c>
      <c r="D19" s="131">
        <f>'Cross-section'!H11</f>
        <v>0</v>
      </c>
      <c r="E19" s="132">
        <f>'Cross-section'!I11</f>
        <v>0</v>
      </c>
    </row>
    <row r="20" spans="2:5" ht="16.95" customHeight="1" x14ac:dyDescent="0.25">
      <c r="B20" s="40" t="s">
        <v>25</v>
      </c>
      <c r="C20" s="130">
        <f>'Cross-section'!G12</f>
        <v>1.67</v>
      </c>
      <c r="D20" s="131">
        <f>'Cross-section'!H12</f>
        <v>0</v>
      </c>
      <c r="E20" s="132">
        <f>'Cross-section'!I12</f>
        <v>0</v>
      </c>
    </row>
    <row r="21" spans="2:5" ht="16.95" customHeight="1" x14ac:dyDescent="0.25">
      <c r="B21" s="40" t="s">
        <v>77</v>
      </c>
      <c r="C21" s="130">
        <f>'Cross-section'!G13</f>
        <v>0.99999999999999889</v>
      </c>
      <c r="D21" s="131">
        <f>'Cross-section'!H13</f>
        <v>0</v>
      </c>
      <c r="E21" s="132">
        <f>'Cross-section'!I13</f>
        <v>0</v>
      </c>
    </row>
    <row r="22" spans="2:5" ht="16.95" customHeight="1" x14ac:dyDescent="0.25">
      <c r="B22" s="40" t="s">
        <v>78</v>
      </c>
      <c r="C22" s="130" t="str">
        <f>'Cross-section'!G14</f>
        <v>&gt;220</v>
      </c>
      <c r="D22" s="131">
        <f>'Cross-section'!H14</f>
        <v>0</v>
      </c>
      <c r="E22" s="132">
        <f>'Cross-section'!I14</f>
        <v>0</v>
      </c>
    </row>
    <row r="23" spans="2:5" ht="16.95" customHeight="1" thickBot="1" x14ac:dyDescent="0.3">
      <c r="B23" s="115" t="s">
        <v>79</v>
      </c>
      <c r="C23" s="130" t="str">
        <f>'Cross-section'!G15</f>
        <v>&gt;10.0</v>
      </c>
      <c r="D23" s="131">
        <f>'Cross-section'!H15</f>
        <v>0</v>
      </c>
      <c r="E23" s="132">
        <f>'Cross-section'!I15</f>
        <v>0</v>
      </c>
    </row>
    <row r="24" spans="2:5" ht="16.95" customHeight="1" thickTop="1" x14ac:dyDescent="0.25">
      <c r="B24" s="116" t="s">
        <v>17</v>
      </c>
      <c r="C24" s="127" t="s">
        <v>54</v>
      </c>
      <c r="D24" s="128"/>
      <c r="E24" s="129"/>
    </row>
    <row r="25" spans="2:5" ht="16.95" customHeight="1" x14ac:dyDescent="0.25">
      <c r="B25" s="40" t="s">
        <v>80</v>
      </c>
      <c r="C25" s="130">
        <f>'Cross-section'!G18</f>
        <v>23.561608265048029</v>
      </c>
      <c r="D25" s="131">
        <f>'Cross-section'!H18</f>
        <v>0</v>
      </c>
      <c r="E25" s="132">
        <f>'Cross-section'!I18</f>
        <v>0</v>
      </c>
    </row>
    <row r="26" spans="2:5" ht="16.95" customHeight="1" x14ac:dyDescent="0.25">
      <c r="B26" s="40" t="s">
        <v>81</v>
      </c>
      <c r="C26" s="130">
        <f>'Cross-section'!G19</f>
        <v>1.2265027414862799</v>
      </c>
      <c r="D26" s="131">
        <f>'Cross-section'!H19</f>
        <v>0</v>
      </c>
      <c r="E26" s="132">
        <f>'Cross-section'!I19</f>
        <v>0</v>
      </c>
    </row>
    <row r="27" spans="2:5" ht="16.95" customHeight="1" x14ac:dyDescent="0.25">
      <c r="B27" s="40" t="s">
        <v>51</v>
      </c>
      <c r="C27" s="130">
        <f>'Cross-section'!G20</f>
        <v>0.15265018679609504</v>
      </c>
      <c r="D27" s="131">
        <f>'Cross-section'!H20</f>
        <v>0</v>
      </c>
      <c r="E27" s="132">
        <f>'Cross-section'!I20</f>
        <v>0</v>
      </c>
    </row>
    <row r="28" spans="2:5" ht="16.95" customHeight="1" x14ac:dyDescent="0.25">
      <c r="B28" s="40" t="s">
        <v>82</v>
      </c>
      <c r="C28" s="130">
        <f>'Cross-section'!G21</f>
        <v>0.1872258725938033</v>
      </c>
      <c r="D28" s="131">
        <f>'Cross-section'!H21</f>
        <v>0</v>
      </c>
      <c r="E28" s="132">
        <f>'Cross-section'!I21</f>
        <v>0</v>
      </c>
    </row>
    <row r="29" spans="2:5" ht="16.95" customHeight="1" x14ac:dyDescent="0.25">
      <c r="B29" s="15" t="s">
        <v>66</v>
      </c>
      <c r="C29" s="130">
        <f>'Cross-section'!G22</f>
        <v>12.401388491221608</v>
      </c>
      <c r="D29" s="131">
        <f>'Cross-section'!H22</f>
        <v>0</v>
      </c>
      <c r="E29" s="132">
        <f>'Cross-section'!I22</f>
        <v>0</v>
      </c>
    </row>
    <row r="30" spans="2:5" ht="16.95" customHeight="1" thickBot="1" x14ac:dyDescent="0.3">
      <c r="B30" s="15" t="s">
        <v>67</v>
      </c>
      <c r="C30" s="130">
        <f>'Cross-section'!G23</f>
        <v>37.45709523177176</v>
      </c>
      <c r="D30" s="131">
        <f>'Cross-section'!H23</f>
        <v>0</v>
      </c>
      <c r="E30" s="132">
        <f>'Cross-section'!I23</f>
        <v>0</v>
      </c>
    </row>
    <row r="31" spans="2:5" ht="16.95" customHeight="1" thickTop="1" x14ac:dyDescent="0.25">
      <c r="B31" s="125" t="s">
        <v>17</v>
      </c>
      <c r="C31" s="122" t="s">
        <v>57</v>
      </c>
      <c r="D31" s="123"/>
      <c r="E31" s="124"/>
    </row>
    <row r="32" spans="2:5" ht="16.95" customHeight="1" thickBot="1" x14ac:dyDescent="0.3">
      <c r="B32" s="126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49</v>
      </c>
      <c r="D33" s="13">
        <f>'Planform Geometry'!I7</f>
        <v>56</v>
      </c>
      <c r="E33" s="13">
        <f>'Planform Geometry'!J7</f>
        <v>97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#DIV/0!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18</v>
      </c>
      <c r="D35" s="13">
        <f>+'Planform Geometry'!I8</f>
        <v>27</v>
      </c>
      <c r="E35" s="13">
        <f>+'Planform Geometry'!J8</f>
        <v>42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#DIV/0!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28</v>
      </c>
      <c r="D37" s="13">
        <f>+'Planform Geometry'!I9</f>
        <v>28</v>
      </c>
      <c r="E37" s="13">
        <f>+'Planform Geometry'!J9</f>
        <v>46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#DIV/0!</v>
      </c>
      <c r="E38" s="14" t="e">
        <f>E37/$D$15</f>
        <v>#DIV/0!</v>
      </c>
    </row>
    <row r="39" spans="2:5" ht="16.95" customHeight="1" thickTop="1" x14ac:dyDescent="0.25">
      <c r="B39" s="125" t="s">
        <v>17</v>
      </c>
      <c r="C39" s="122" t="s">
        <v>58</v>
      </c>
      <c r="D39" s="123"/>
      <c r="E39" s="124"/>
    </row>
    <row r="40" spans="2:5" ht="16.95" customHeight="1" thickBot="1" x14ac:dyDescent="0.3">
      <c r="B40" s="126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4" sqref="H4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1" t="s">
        <v>17</v>
      </c>
      <c r="C5" s="162"/>
      <c r="D5" s="162"/>
      <c r="E5" s="162"/>
      <c r="F5" s="163"/>
      <c r="G5" s="161" t="s">
        <v>64</v>
      </c>
      <c r="H5" s="162"/>
      <c r="I5" s="163"/>
      <c r="K5" s="5"/>
      <c r="L5" s="5"/>
    </row>
    <row r="6" spans="2:12" ht="16.5" customHeight="1" x14ac:dyDescent="0.25">
      <c r="B6" s="158" t="s">
        <v>71</v>
      </c>
      <c r="C6" s="159"/>
      <c r="D6" s="159"/>
      <c r="E6" s="159"/>
      <c r="F6" s="160"/>
      <c r="G6" s="164">
        <f>K30</f>
        <v>19.2104</v>
      </c>
      <c r="H6" s="165"/>
      <c r="I6" s="166"/>
      <c r="K6" s="5"/>
      <c r="L6" s="5"/>
    </row>
    <row r="7" spans="2:12" ht="16.5" customHeight="1" x14ac:dyDescent="0.25">
      <c r="B7" s="158" t="s">
        <v>72</v>
      </c>
      <c r="C7" s="159"/>
      <c r="D7" s="159"/>
      <c r="E7" s="159"/>
      <c r="F7" s="160"/>
      <c r="G7" s="164">
        <f t="shared" ref="G7:G15" si="0">K31</f>
        <v>21.989999999999995</v>
      </c>
      <c r="H7" s="165"/>
      <c r="I7" s="166"/>
      <c r="J7" s="12"/>
      <c r="K7" s="5"/>
      <c r="L7" s="5"/>
    </row>
    <row r="8" spans="2:12" ht="16.5" customHeight="1" x14ac:dyDescent="0.25">
      <c r="B8" s="158" t="s">
        <v>73</v>
      </c>
      <c r="C8" s="159"/>
      <c r="D8" s="159"/>
      <c r="E8" s="159"/>
      <c r="F8" s="160"/>
      <c r="G8" s="164">
        <f t="shared" si="0"/>
        <v>0.87359708958617577</v>
      </c>
      <c r="H8" s="165"/>
      <c r="I8" s="166"/>
      <c r="J8" s="12"/>
      <c r="K8" s="5"/>
      <c r="L8" s="5"/>
    </row>
    <row r="9" spans="2:12" ht="16.5" customHeight="1" x14ac:dyDescent="0.25">
      <c r="B9" s="158" t="s">
        <v>74</v>
      </c>
      <c r="C9" s="159"/>
      <c r="D9" s="159"/>
      <c r="E9" s="159"/>
      <c r="F9" s="160"/>
      <c r="G9" s="164">
        <f t="shared" si="0"/>
        <v>25.171787156956636</v>
      </c>
      <c r="H9" s="165"/>
      <c r="I9" s="166"/>
      <c r="J9" s="12"/>
      <c r="K9" s="5"/>
      <c r="L9" s="5"/>
    </row>
    <row r="10" spans="2:12" ht="16.5" customHeight="1" x14ac:dyDescent="0.25">
      <c r="B10" s="158" t="s">
        <v>75</v>
      </c>
      <c r="C10" s="159"/>
      <c r="D10" s="159"/>
      <c r="E10" s="159"/>
      <c r="F10" s="160"/>
      <c r="G10" s="164">
        <f t="shared" si="0"/>
        <v>1.6700000000000017</v>
      </c>
      <c r="H10" s="165"/>
      <c r="I10" s="166"/>
      <c r="J10" s="12"/>
      <c r="K10" s="5"/>
      <c r="L10" s="5"/>
    </row>
    <row r="11" spans="2:12" ht="16.5" customHeight="1" x14ac:dyDescent="0.25">
      <c r="B11" s="158" t="s">
        <v>76</v>
      </c>
      <c r="C11" s="159"/>
      <c r="D11" s="159"/>
      <c r="E11" s="159"/>
      <c r="F11" s="160"/>
      <c r="G11" s="164">
        <f t="shared" si="0"/>
        <v>1.9116364052804746</v>
      </c>
      <c r="H11" s="165"/>
      <c r="I11" s="166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4">
        <f t="shared" si="0"/>
        <v>1.67</v>
      </c>
      <c r="H12" s="165"/>
      <c r="I12" s="166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4">
        <f t="shared" si="0"/>
        <v>0.99999999999999889</v>
      </c>
      <c r="H13" s="165"/>
      <c r="I13" s="166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4" t="str">
        <f t="shared" si="0"/>
        <v>&gt;220</v>
      </c>
      <c r="H14" s="165"/>
      <c r="I14" s="166"/>
      <c r="J14" s="12"/>
      <c r="K14" s="5"/>
      <c r="L14" s="5"/>
    </row>
    <row r="15" spans="2:12" ht="16.5" customHeight="1" x14ac:dyDescent="0.25">
      <c r="B15" s="158" t="s">
        <v>79</v>
      </c>
      <c r="C15" s="159"/>
      <c r="D15" s="159"/>
      <c r="E15" s="159"/>
      <c r="F15" s="160"/>
      <c r="G15" s="164" t="str">
        <f t="shared" si="0"/>
        <v>&gt;10.0</v>
      </c>
      <c r="H15" s="165"/>
      <c r="I15" s="166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1" t="s">
        <v>17</v>
      </c>
      <c r="C17" s="162"/>
      <c r="D17" s="162"/>
      <c r="E17" s="162"/>
      <c r="F17" s="163"/>
      <c r="G17" s="161" t="s">
        <v>54</v>
      </c>
      <c r="H17" s="162"/>
      <c r="I17" s="163"/>
      <c r="K17" s="5"/>
      <c r="L17" s="5"/>
    </row>
    <row r="18" spans="2:12" ht="16.5" customHeight="1" x14ac:dyDescent="0.25">
      <c r="B18" s="158" t="s">
        <v>80</v>
      </c>
      <c r="C18" s="159"/>
      <c r="D18" s="159"/>
      <c r="E18" s="159"/>
      <c r="F18" s="160"/>
      <c r="G18" s="173">
        <f>K44</f>
        <v>23.561608265048029</v>
      </c>
      <c r="H18" s="174"/>
      <c r="I18" s="175"/>
      <c r="K18" s="5"/>
      <c r="L18" s="5"/>
    </row>
    <row r="19" spans="2:12" ht="16.5" customHeight="1" x14ac:dyDescent="0.25">
      <c r="B19" s="158" t="s">
        <v>81</v>
      </c>
      <c r="C19" s="159"/>
      <c r="D19" s="159"/>
      <c r="E19" s="159"/>
      <c r="F19" s="160"/>
      <c r="G19" s="130">
        <f t="shared" ref="G19:G23" si="1">K45</f>
        <v>1.2265027414862799</v>
      </c>
      <c r="H19" s="131"/>
      <c r="I19" s="132"/>
      <c r="K19" s="5"/>
      <c r="L19" s="5"/>
    </row>
    <row r="20" spans="2:12" ht="16.5" customHeight="1" x14ac:dyDescent="0.25">
      <c r="B20" s="158" t="s">
        <v>82</v>
      </c>
      <c r="C20" s="159"/>
      <c r="D20" s="159"/>
      <c r="E20" s="159"/>
      <c r="F20" s="160"/>
      <c r="G20" s="130">
        <f t="shared" si="1"/>
        <v>0.15265018679609504</v>
      </c>
      <c r="H20" s="131"/>
      <c r="I20" s="132"/>
      <c r="J20" s="2"/>
      <c r="K20" s="5"/>
      <c r="L20" s="5"/>
    </row>
    <row r="21" spans="2:12" ht="16.5" customHeight="1" x14ac:dyDescent="0.25">
      <c r="B21" s="158" t="s">
        <v>49</v>
      </c>
      <c r="C21" s="159"/>
      <c r="D21" s="159"/>
      <c r="E21" s="159"/>
      <c r="F21" s="160"/>
      <c r="G21" s="130">
        <f t="shared" si="1"/>
        <v>0.1872258725938033</v>
      </c>
      <c r="H21" s="131"/>
      <c r="I21" s="132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3">
        <f t="shared" si="1"/>
        <v>12.401388491221608</v>
      </c>
      <c r="H22" s="174"/>
      <c r="I22" s="175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3">
        <f t="shared" si="1"/>
        <v>37.45709523177176</v>
      </c>
      <c r="H23" s="174"/>
      <c r="I23" s="175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99.91</v>
      </c>
      <c r="F29" s="31"/>
      <c r="G29" s="32"/>
      <c r="H29" s="31"/>
      <c r="J29" s="33" t="s">
        <v>15</v>
      </c>
      <c r="K29" s="34">
        <f>LOOKUP("LBKF",B29:E51)</f>
        <v>100</v>
      </c>
      <c r="L29" s="35"/>
    </row>
    <row r="30" spans="2:12" ht="16.5" customHeight="1" x14ac:dyDescent="0.25">
      <c r="B30" s="119" t="s">
        <v>2</v>
      </c>
      <c r="C30" s="120">
        <v>11.31</v>
      </c>
      <c r="D30" s="121"/>
      <c r="E30" s="30">
        <v>100</v>
      </c>
      <c r="F30" s="31">
        <f t="shared" ref="F30:F38" si="2">IF(E30&gt;0,IF(E30&lt;K$29,K$29-E30,0),0)</f>
        <v>0</v>
      </c>
      <c r="G30" s="32">
        <f t="shared" ref="G30:G38" si="3">IF(E30&gt;0,IF(E30&lt;=K$29,C30-C29,0),0)</f>
        <v>11.31</v>
      </c>
      <c r="H30" s="31">
        <f t="shared" ref="H30:H38" si="4">IF(E30&lt;=K$29,G30*(F29+F30)/2,0)</f>
        <v>0</v>
      </c>
      <c r="J30" s="37" t="s">
        <v>71</v>
      </c>
      <c r="K30" s="11">
        <f>SUM(H29:H51)</f>
        <v>19.2104</v>
      </c>
      <c r="L30" s="35"/>
    </row>
    <row r="31" spans="2:12" ht="16.5" customHeight="1" x14ac:dyDescent="0.25">
      <c r="B31" s="119"/>
      <c r="C31" s="120">
        <v>18.53</v>
      </c>
      <c r="D31" s="121"/>
      <c r="E31" s="30">
        <v>99.7</v>
      </c>
      <c r="F31" s="31">
        <f t="shared" si="2"/>
        <v>0.29999999999999716</v>
      </c>
      <c r="G31" s="32">
        <f t="shared" si="3"/>
        <v>7.2200000000000006</v>
      </c>
      <c r="H31" s="31">
        <f t="shared" si="4"/>
        <v>1.0829999999999897</v>
      </c>
      <c r="J31" s="37" t="s">
        <v>72</v>
      </c>
      <c r="K31" s="11">
        <f>LOOKUP("RBKF",B29:C51)-LOOKUP("LBKF",B29:C51)</f>
        <v>21.989999999999995</v>
      </c>
      <c r="L31" s="35"/>
    </row>
    <row r="32" spans="2:12" ht="16.5" customHeight="1" x14ac:dyDescent="0.25">
      <c r="B32" s="119"/>
      <c r="C32" s="120">
        <v>20.010000000000002</v>
      </c>
      <c r="D32" s="121"/>
      <c r="E32" s="30">
        <v>99.13</v>
      </c>
      <c r="F32" s="31">
        <f t="shared" si="2"/>
        <v>0.87000000000000455</v>
      </c>
      <c r="G32" s="32">
        <f t="shared" si="3"/>
        <v>1.4800000000000004</v>
      </c>
      <c r="H32" s="31">
        <f t="shared" si="4"/>
        <v>0.86580000000000146</v>
      </c>
      <c r="J32" s="37" t="s">
        <v>73</v>
      </c>
      <c r="K32" s="11">
        <f>K30/K31</f>
        <v>0.87359708958617577</v>
      </c>
      <c r="L32" s="35"/>
    </row>
    <row r="33" spans="2:13" ht="16.5" customHeight="1" x14ac:dyDescent="0.25">
      <c r="B33" s="119"/>
      <c r="C33" s="120">
        <v>21.07</v>
      </c>
      <c r="D33" s="121"/>
      <c r="E33" s="30">
        <v>98.62</v>
      </c>
      <c r="F33" s="31">
        <f t="shared" si="2"/>
        <v>1.3799999999999955</v>
      </c>
      <c r="G33" s="32">
        <f t="shared" si="3"/>
        <v>1.0599999999999987</v>
      </c>
      <c r="H33" s="31">
        <f t="shared" si="4"/>
        <v>1.1924999999999986</v>
      </c>
      <c r="J33" s="37" t="s">
        <v>74</v>
      </c>
      <c r="K33" s="38">
        <f>K31/K32</f>
        <v>25.171787156956636</v>
      </c>
      <c r="L33" s="35"/>
    </row>
    <row r="34" spans="2:13" ht="16.5" customHeight="1" x14ac:dyDescent="0.25">
      <c r="B34" s="119"/>
      <c r="C34" s="120">
        <v>24.96</v>
      </c>
      <c r="D34" s="121"/>
      <c r="E34" s="30">
        <v>98.33</v>
      </c>
      <c r="F34" s="31">
        <f t="shared" si="2"/>
        <v>1.6700000000000017</v>
      </c>
      <c r="G34" s="32">
        <f t="shared" si="3"/>
        <v>3.8900000000000006</v>
      </c>
      <c r="H34" s="31">
        <f t="shared" si="4"/>
        <v>5.9322499999999954</v>
      </c>
      <c r="J34" s="37" t="s">
        <v>75</v>
      </c>
      <c r="K34" s="11">
        <f>MAX(F29:F51)</f>
        <v>1.6700000000000017</v>
      </c>
      <c r="L34" s="35"/>
    </row>
    <row r="35" spans="2:13" ht="16.5" customHeight="1" x14ac:dyDescent="0.25">
      <c r="B35" s="119"/>
      <c r="C35" s="120">
        <v>29.79</v>
      </c>
      <c r="D35" s="121"/>
      <c r="E35" s="30">
        <v>98.47</v>
      </c>
      <c r="F35" s="31">
        <f t="shared" si="2"/>
        <v>1.5300000000000011</v>
      </c>
      <c r="G35" s="32">
        <f t="shared" si="3"/>
        <v>4.8299999999999983</v>
      </c>
      <c r="H35" s="31">
        <f t="shared" si="4"/>
        <v>7.7280000000000042</v>
      </c>
      <c r="J35" s="37" t="s">
        <v>76</v>
      </c>
      <c r="K35" s="39">
        <f>K34/K32</f>
        <v>1.9116364052804746</v>
      </c>
      <c r="L35" s="35"/>
    </row>
    <row r="36" spans="2:13" ht="16.5" customHeight="1" x14ac:dyDescent="0.25">
      <c r="B36" s="119"/>
      <c r="C36" s="120">
        <v>31.7</v>
      </c>
      <c r="D36" s="121"/>
      <c r="E36" s="30">
        <v>99.46</v>
      </c>
      <c r="F36" s="31">
        <f t="shared" si="2"/>
        <v>0.54000000000000625</v>
      </c>
      <c r="G36" s="32">
        <f t="shared" si="3"/>
        <v>1.9100000000000001</v>
      </c>
      <c r="H36" s="31">
        <f t="shared" si="4"/>
        <v>1.9768500000000071</v>
      </c>
      <c r="J36" s="40" t="s">
        <v>25</v>
      </c>
      <c r="K36" s="41">
        <v>1.67</v>
      </c>
      <c r="L36" s="35"/>
    </row>
    <row r="37" spans="2:13" ht="16.5" customHeight="1" x14ac:dyDescent="0.25">
      <c r="B37" s="119" t="s">
        <v>3</v>
      </c>
      <c r="C37" s="120">
        <v>33.299999999999997</v>
      </c>
      <c r="D37" s="121"/>
      <c r="E37" s="30">
        <v>100</v>
      </c>
      <c r="F37" s="31">
        <f t="shared" si="2"/>
        <v>0</v>
      </c>
      <c r="G37" s="32">
        <f t="shared" si="3"/>
        <v>1.5999999999999979</v>
      </c>
      <c r="H37" s="31">
        <f t="shared" si="4"/>
        <v>0.43200000000000444</v>
      </c>
      <c r="J37" s="40" t="s">
        <v>77</v>
      </c>
      <c r="K37" s="42">
        <f>+K36/K34</f>
        <v>0.99999999999999889</v>
      </c>
      <c r="L37" s="35"/>
    </row>
    <row r="38" spans="2:13" ht="16.5" customHeight="1" x14ac:dyDescent="0.25">
      <c r="B38" s="119"/>
      <c r="C38" s="120">
        <v>33.659999999999997</v>
      </c>
      <c r="D38" s="121"/>
      <c r="E38" s="30">
        <v>100.13</v>
      </c>
      <c r="F38" s="31">
        <f t="shared" si="2"/>
        <v>0</v>
      </c>
      <c r="G38" s="32">
        <f t="shared" si="3"/>
        <v>0</v>
      </c>
      <c r="H38" s="31">
        <f t="shared" si="4"/>
        <v>0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42.91</v>
      </c>
      <c r="D39" s="121"/>
      <c r="E39" s="30">
        <v>100.21</v>
      </c>
      <c r="F39" s="31">
        <f t="shared" ref="F39" si="5">IF(E39&gt;0,IF(E39&lt;K$29,K$29-E39,0),0)</f>
        <v>0</v>
      </c>
      <c r="G39" s="32">
        <f t="shared" ref="G39" si="6">IF(E39&gt;0,IF(E39&lt;=K$29,C39-C38,0),0)</f>
        <v>0</v>
      </c>
      <c r="H39" s="31">
        <f t="shared" ref="H39" si="7">IF(E39&lt;=K$29,G39*(F38+F39)/2,0)</f>
        <v>0</v>
      </c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/>
      <c r="D40" s="121"/>
      <c r="E40" s="30"/>
      <c r="F40" s="31"/>
      <c r="G40" s="32"/>
      <c r="H40" s="31"/>
      <c r="J40" s="37" t="s">
        <v>8</v>
      </c>
      <c r="K40" s="108">
        <f>+'Longitudinal Profile'!$H$9</f>
        <v>3.0227743271221529E-3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5.8000000000000003E-2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23.737194179172345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0.80929531329594651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23.561608265048029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1.2265027414862799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0.15265018679609504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0.1872258725938033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12.401388491221608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37.45709523177176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3" sqref="E3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178.88888888888889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241.5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0.73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3.0227743271221529E-3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4.0807453416149067E-3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1.35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J9" sqref="J9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>
        <v>56</v>
      </c>
      <c r="D7" s="102">
        <v>97</v>
      </c>
      <c r="E7" s="102">
        <v>49</v>
      </c>
      <c r="F7" s="102"/>
      <c r="G7" s="102"/>
      <c r="H7" s="13">
        <f>MIN(C7:G7)</f>
        <v>49</v>
      </c>
      <c r="I7" s="13">
        <f>MEDIAN(C7:G7)</f>
        <v>56</v>
      </c>
      <c r="J7" s="13">
        <f>MAX(C7:G7)</f>
        <v>97</v>
      </c>
    </row>
    <row r="8" spans="2:10" ht="16.5" customHeight="1" x14ac:dyDescent="0.25">
      <c r="B8" s="40" t="s">
        <v>26</v>
      </c>
      <c r="C8" s="102">
        <v>18</v>
      </c>
      <c r="D8" s="102">
        <v>42</v>
      </c>
      <c r="E8" s="102">
        <v>26</v>
      </c>
      <c r="F8" s="102">
        <v>33</v>
      </c>
      <c r="G8" s="102">
        <v>27</v>
      </c>
      <c r="H8" s="13">
        <f>MIN(C8:G8)</f>
        <v>18</v>
      </c>
      <c r="I8" s="13">
        <f>MEDIAN(C8:G8)</f>
        <v>27</v>
      </c>
      <c r="J8" s="13">
        <f>MAX(C8:G8)</f>
        <v>42</v>
      </c>
    </row>
    <row r="9" spans="2:10" ht="16.5" customHeight="1" x14ac:dyDescent="0.25">
      <c r="B9" s="40" t="s">
        <v>88</v>
      </c>
      <c r="C9" s="102">
        <v>28</v>
      </c>
      <c r="D9" s="102">
        <v>46</v>
      </c>
      <c r="E9" s="102">
        <v>28</v>
      </c>
      <c r="F9" s="102"/>
      <c r="G9" s="102"/>
      <c r="H9" s="13">
        <f>MIN(C9:G9)</f>
        <v>28</v>
      </c>
      <c r="I9" s="13">
        <f>MEDIAN(C9:G9)</f>
        <v>28</v>
      </c>
      <c r="J9" s="13">
        <f>MAX(C9:G9)</f>
        <v>46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